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8be0c2247cf749b/Anudeep/Others/17. Tools/IT Calculator/"/>
    </mc:Choice>
  </mc:AlternateContent>
  <xr:revisionPtr revIDLastSave="1828" documentId="11_F25DC773A252ABDACC104834C95C40345BDE58EE" xr6:coauthVersionLast="45" xr6:coauthVersionMax="45" xr10:uidLastSave="{E8245C53-65A2-428A-A929-640CB314F12C}"/>
  <workbookProtection workbookAlgorithmName="SHA-512" workbookHashValue="gyrzgAAnlCtkNUoNSGUcXQ8vm8u7Nf1cKjtuxn/t/GhdB43Rfnec8+9zSvAHB1onSa+fvt+gF3Sxwse7OLnQ6w==" workbookSaltValue="r2Ynahbkf2jOiW4m3WgKeg==" workbookSpinCount="100000" lockStructure="1"/>
  <bookViews>
    <workbookView xWindow="-108" yWindow="-108" windowWidth="23256" windowHeight="12576" xr2:uid="{00000000-000D-0000-FFFF-FFFF00000000}"/>
  </bookViews>
  <sheets>
    <sheet name="Instructions" sheetId="6" r:id="rId1"/>
    <sheet name="Input" sheetId="1" r:id="rId2"/>
    <sheet name="Output" sheetId="2" r:id="rId3"/>
    <sheet name="Tax Calculator-NEW" sheetId="4" state="hidden" r:id="rId4"/>
    <sheet name="Tax Calculator-OLD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L82" i="1" l="1"/>
  <c r="L78" i="1"/>
  <c r="L20" i="1" l="1"/>
  <c r="L22" i="1"/>
  <c r="L75" i="1" l="1"/>
  <c r="L73" i="1"/>
  <c r="L28" i="1" l="1"/>
  <c r="L79" i="1" l="1"/>
  <c r="L83" i="1"/>
  <c r="J13" i="1"/>
  <c r="L11" i="1" s="1"/>
  <c r="I6" i="2" s="1"/>
  <c r="I5" i="2" l="1"/>
  <c r="J5" i="2" l="1"/>
  <c r="J8" i="2" l="1"/>
  <c r="H10" i="4"/>
  <c r="H9" i="4"/>
  <c r="H8" i="4"/>
  <c r="H7" i="4"/>
  <c r="L64" i="1"/>
  <c r="L61" i="1"/>
  <c r="O25" i="3"/>
  <c r="P25" i="3" s="1"/>
  <c r="D25" i="3"/>
  <c r="H10" i="3"/>
  <c r="H9" i="3"/>
  <c r="H8" i="3"/>
  <c r="H7" i="3"/>
  <c r="I12" i="2"/>
  <c r="J12" i="2" s="1"/>
  <c r="L70" i="1"/>
  <c r="L67" i="1"/>
  <c r="L81" i="1"/>
  <c r="L80" i="1"/>
  <c r="L77" i="1"/>
  <c r="L43" i="1"/>
  <c r="L30" i="1"/>
  <c r="L29" i="1"/>
  <c r="J16" i="1"/>
  <c r="I10" i="2" l="1"/>
  <c r="J10" i="2" s="1"/>
  <c r="I16" i="2"/>
  <c r="J16" i="2"/>
  <c r="E25" i="3"/>
  <c r="J14" i="2"/>
  <c r="I8" i="2" l="1"/>
  <c r="I14" i="2" s="1"/>
  <c r="J18" i="2" l="1"/>
  <c r="B1" i="4" s="1"/>
  <c r="I13" i="4" s="1"/>
  <c r="I18" i="2"/>
  <c r="B1" i="3" s="1"/>
  <c r="D7" i="3" l="1"/>
  <c r="I13" i="3"/>
  <c r="M1" i="3" s="1"/>
  <c r="D8" i="4"/>
  <c r="E8" i="4" s="1"/>
  <c r="D7" i="4"/>
  <c r="E7" i="4" s="1"/>
  <c r="D6" i="4"/>
  <c r="E6" i="4" s="1"/>
  <c r="D10" i="4"/>
  <c r="E10" i="4" s="1"/>
  <c r="D11" i="4"/>
  <c r="E11" i="4" s="1"/>
  <c r="D5" i="4"/>
  <c r="E5" i="4" s="1"/>
  <c r="D9" i="4"/>
  <c r="E9" i="4" s="1"/>
  <c r="J13" i="4"/>
  <c r="J18" i="4" s="1"/>
  <c r="M1" i="4"/>
  <c r="J20" i="2" l="1"/>
  <c r="J14" i="4"/>
  <c r="E12" i="4"/>
  <c r="J15" i="4" s="1"/>
  <c r="O9" i="4"/>
  <c r="P9" i="4" s="1"/>
  <c r="O5" i="4"/>
  <c r="P5" i="4" s="1"/>
  <c r="O8" i="4"/>
  <c r="P8" i="4" s="1"/>
  <c r="O11" i="4"/>
  <c r="P11" i="4" s="1"/>
  <c r="O6" i="4"/>
  <c r="P6" i="4" s="1"/>
  <c r="O7" i="4"/>
  <c r="P7" i="4" s="1"/>
  <c r="O10" i="4"/>
  <c r="P10" i="4" s="1"/>
  <c r="J16" i="4" l="1"/>
  <c r="J23" i="2"/>
  <c r="P12" i="4"/>
  <c r="I15" i="4" s="1"/>
  <c r="I14" i="4"/>
  <c r="I16" i="4" l="1"/>
  <c r="J17" i="4" s="1"/>
  <c r="J19" i="4" s="1"/>
  <c r="J21" i="2" s="1"/>
  <c r="J22" i="2" l="1"/>
  <c r="J25" i="2" s="1"/>
  <c r="D6" i="3"/>
  <c r="E6" i="3" s="1"/>
  <c r="D16" i="3"/>
  <c r="E16" i="3" s="1"/>
  <c r="D18" i="3"/>
  <c r="E18" i="3" s="1"/>
  <c r="D27" i="3"/>
  <c r="E27" i="3" s="1"/>
  <c r="D8" i="3"/>
  <c r="E8" i="3" s="1"/>
  <c r="D19" i="3"/>
  <c r="E19" i="3" s="1"/>
  <c r="D9" i="3"/>
  <c r="E9" i="3" s="1"/>
  <c r="D17" i="3"/>
  <c r="E17" i="3" s="1"/>
  <c r="D26" i="3"/>
  <c r="E26" i="3" s="1"/>
  <c r="O27" i="3" l="1"/>
  <c r="P27" i="3" s="1"/>
  <c r="D11" i="3"/>
  <c r="E20" i="3"/>
  <c r="E28" i="3"/>
  <c r="E7" i="3"/>
  <c r="E10" i="3" s="1"/>
  <c r="I21" i="2" s="1"/>
  <c r="J13" i="3"/>
  <c r="J18" i="3" s="1"/>
  <c r="D29" i="3"/>
  <c r="D21" i="3"/>
  <c r="O8" i="3" l="1"/>
  <c r="P8" i="3" s="1"/>
  <c r="O18" i="3"/>
  <c r="P18" i="3" s="1"/>
  <c r="J15" i="3"/>
  <c r="O6" i="3"/>
  <c r="P6" i="3" s="1"/>
  <c r="O17" i="3"/>
  <c r="P17" i="3" s="1"/>
  <c r="O16" i="3"/>
  <c r="P16" i="3" s="1"/>
  <c r="J14" i="3"/>
  <c r="O19" i="3"/>
  <c r="P19" i="3" s="1"/>
  <c r="I20" i="2"/>
  <c r="O9" i="3"/>
  <c r="P9" i="3" s="1"/>
  <c r="O7" i="3"/>
  <c r="P7" i="3" s="1"/>
  <c r="O26" i="3"/>
  <c r="O29" i="3" s="1"/>
  <c r="P26" i="3" l="1"/>
  <c r="P28" i="3" s="1"/>
  <c r="P20" i="3"/>
  <c r="O11" i="3"/>
  <c r="P10" i="3"/>
  <c r="I15" i="3" s="1"/>
  <c r="I14" i="3"/>
  <c r="O21" i="3"/>
  <c r="J16" i="3"/>
  <c r="I23" i="2"/>
  <c r="I16" i="3" l="1"/>
  <c r="J17" i="3" s="1"/>
  <c r="J19" i="3" s="1"/>
  <c r="I22" i="2"/>
  <c r="I25" i="2" l="1"/>
  <c r="D27" i="2" s="1"/>
</calcChain>
</file>

<file path=xl/sharedStrings.xml><?xml version="1.0" encoding="utf-8"?>
<sst xmlns="http://schemas.openxmlformats.org/spreadsheetml/2006/main" count="200" uniqueCount="119">
  <si>
    <t>Name</t>
  </si>
  <si>
    <t>Age</t>
  </si>
  <si>
    <t>GROSS ANNUAL INCOME FROM SALARY</t>
  </si>
  <si>
    <t>(A) NET INCOME FROM SALARIES</t>
  </si>
  <si>
    <t>Metro or Non-Metro</t>
  </si>
  <si>
    <t>Rent Paid</t>
  </si>
  <si>
    <t>Actual H.R.A Received</t>
  </si>
  <si>
    <t>2.STANDARD DEDUCTION</t>
  </si>
  <si>
    <t>3.ANY OTHER RECEIPTS/ALLOWANCES</t>
  </si>
  <si>
    <t>Less: ALLOWANCES EXEMPT U/S 10 (1+2+3+4)</t>
  </si>
  <si>
    <t>4.PROFESSIONAL TAX</t>
  </si>
  <si>
    <t>1.HRA EXEMPTION</t>
  </si>
  <si>
    <t>RENT RECEIVED AFTER  MUNICIPAL TAXES</t>
  </si>
  <si>
    <t>INTEREST PAID ON HOME LOAN</t>
  </si>
  <si>
    <t>TAX BENEFITS FOR FIRST TIME BUYER</t>
  </si>
  <si>
    <t>OLD REGIME</t>
  </si>
  <si>
    <t>(B) NET INCOME FROM HOUSE PROPERTIES</t>
  </si>
  <si>
    <t xml:space="preserve">SALARY </t>
  </si>
  <si>
    <t>RENTAL INCOME</t>
  </si>
  <si>
    <t>OTHER INCOME</t>
  </si>
  <si>
    <t>INTEREST ON FIXED DEPOSITS</t>
  </si>
  <si>
    <t>ANY OTHER INTEREST</t>
  </si>
  <si>
    <t>ANY OTHER INCOME</t>
  </si>
  <si>
    <t>(C) OTHER INCOME</t>
  </si>
  <si>
    <t>DEDCUTION UNDER CHAPTER VI A</t>
  </si>
  <si>
    <t>SECTION 80C</t>
  </si>
  <si>
    <t>A. EPF &amp; VPF Contribution</t>
  </si>
  <si>
    <t>B. Public Provident Fund (PPF)</t>
  </si>
  <si>
    <t>C. Senior Citizen’s Saving Scheme (SCSS)</t>
  </si>
  <si>
    <t>D. N.S.C (Investment + accrued Interest before Maturity Year)</t>
  </si>
  <si>
    <t>E. Tax Saving Fixed Deposit (5 Years and above)</t>
  </si>
  <si>
    <t>F. Tax Savings Bonds</t>
  </si>
  <si>
    <t>G. E.L.S.S (Tax Saving Mutual Fund)</t>
  </si>
  <si>
    <t>H. Life Insurance Premiums</t>
  </si>
  <si>
    <t>I. New Pension Scheme (NPS) (u/s 80CCC)</t>
  </si>
  <si>
    <t>J. Pension Plan from Insurance Companies/Mutual Funds (u/s 80CCC)</t>
  </si>
  <si>
    <t>K. 80 CCD Central Govt. Employees Pension Plan (u/s 80CCD)</t>
  </si>
  <si>
    <t xml:space="preserve">M. Sukanya Samriddhi Account </t>
  </si>
  <si>
    <t>N. Stamp Duty &amp; Registration Charges</t>
  </si>
  <si>
    <t>O. Tuition fees for 2 children</t>
  </si>
  <si>
    <t>OTHER DEDUCTIONS</t>
  </si>
  <si>
    <t>SECTION 80CCD (2)</t>
  </si>
  <si>
    <t>SECTION 80EEA</t>
  </si>
  <si>
    <t>Interest paid on affordable housing</t>
  </si>
  <si>
    <t>SECTION 80EEB</t>
  </si>
  <si>
    <t>Interest paid on purchase of electric vehicle</t>
  </si>
  <si>
    <t>A. 80 D Medical Insurance premiums (for Self )</t>
  </si>
  <si>
    <t>MAXIMUM DEDUCTION</t>
  </si>
  <si>
    <t>(D) GROSS TOTAL INCOME (A+B+C)</t>
  </si>
  <si>
    <t xml:space="preserve">(E ) Less: DEDUCTIONS </t>
  </si>
  <si>
    <t>(F) NET  TOTAL INCOME (D-E)</t>
  </si>
  <si>
    <t>OLD REGIME:</t>
  </si>
  <si>
    <t>Tax Bracket</t>
  </si>
  <si>
    <t>Tax Rate</t>
  </si>
  <si>
    <t>Taxable Amount</t>
  </si>
  <si>
    <t>Tax</t>
  </si>
  <si>
    <t>0 to 2,50,000</t>
  </si>
  <si>
    <t>2,50,000 to 5,00,000</t>
  </si>
  <si>
    <t>5,00,000 to 10,00,000</t>
  </si>
  <si>
    <t>Above 10,00,000</t>
  </si>
  <si>
    <t>Below 60 Years:</t>
  </si>
  <si>
    <t>SECTION 80CCD (1B)</t>
  </si>
  <si>
    <t>Surcharge</t>
  </si>
  <si>
    <t>60 Years to 80 Years:</t>
  </si>
  <si>
    <t>Income Bracket</t>
  </si>
  <si>
    <t>FROM</t>
  </si>
  <si>
    <t>TO</t>
  </si>
  <si>
    <t>Rate</t>
  </si>
  <si>
    <t>0 to 3,00,000</t>
  </si>
  <si>
    <t>3,00,000 to 5,00,000</t>
  </si>
  <si>
    <t>Above 80 Years:</t>
  </si>
  <si>
    <t>0 to 5,00,000</t>
  </si>
  <si>
    <t>Inc in Tax</t>
  </si>
  <si>
    <t>Inc in Income</t>
  </si>
  <si>
    <t>MR</t>
  </si>
  <si>
    <t>Add: SURCHARGE</t>
  </si>
  <si>
    <t>Add: HEALTH &amp; EDUCATION CESS</t>
  </si>
  <si>
    <t>GROSS TAX PAYABLE</t>
  </si>
  <si>
    <t>Less: INCOME TAX REBATE 87A</t>
  </si>
  <si>
    <t>Income</t>
  </si>
  <si>
    <t>Total Tax</t>
  </si>
  <si>
    <t>NET TAX PAYABLE</t>
  </si>
  <si>
    <t>NEW REGIME</t>
  </si>
  <si>
    <t>MARGINAL RELIEF</t>
  </si>
  <si>
    <t>Additional Deduction on NPS Contribution</t>
  </si>
  <si>
    <t>5,00,000 to 7,50,000</t>
  </si>
  <si>
    <t>7,50,000 to 10,00,000</t>
  </si>
  <si>
    <t>10,00,000 to 12,50,000</t>
  </si>
  <si>
    <t>12,50,000 to 15,00,000</t>
  </si>
  <si>
    <t>NEW REGIME:</t>
  </si>
  <si>
    <t>15,00,000 and above</t>
  </si>
  <si>
    <t>L. Housing Loan (Principal Repayment)</t>
  </si>
  <si>
    <t>1. PLEASE INPUT THE DETAILS IN THE "INPUT" SHEET &amp; VIEW THE RESULT IN THE "OUTPUT" SHEET</t>
  </si>
  <si>
    <t>2. THE DETAILS SHOULD BE ENTERED INTO THE WHITE CELLS ONLY</t>
  </si>
  <si>
    <t>1. THIS CALCULATOR SHOULD BE USED ONLY FOR THE PURPOSE OF COMAPRING THE TAXATION IN THE OLD VS NEW REGIME</t>
  </si>
  <si>
    <t>2. THE RESULTS OBTAINED THROUGH THIS CALCULATOR SHALL NOT BE CONSIDERED AS THE FINAL TAX LIABILITY OF THE INDIVIDUAL</t>
  </si>
  <si>
    <t>INSTRUCTIONS</t>
  </si>
  <si>
    <t>DISCLAIMER</t>
  </si>
  <si>
    <t>(Mandatory Field )</t>
  </si>
  <si>
    <t>Non Metro</t>
  </si>
  <si>
    <t xml:space="preserve">Basic Salary </t>
  </si>
  <si>
    <t>Dearness Allowance; if any</t>
  </si>
  <si>
    <t>WWW.SCASSOCIATES.ORG</t>
  </si>
  <si>
    <t>3. ENTER THE INFORMATION THAT IS ONLY APPLICABLE TO YOU</t>
  </si>
  <si>
    <t>3. THIS CALCULATOR IS INTENDED TO BE USED ONLY FOR INFORMATIVE PURPOSES</t>
  </si>
  <si>
    <t>BANK INTEREST ON SAVINGS A/C</t>
  </si>
  <si>
    <t>C. 80 D Medical Insurance premiums (for Parents)</t>
  </si>
  <si>
    <t>B. 80 D Health Check Up Costs (for Self)</t>
  </si>
  <si>
    <t>D. 80 D Health Check Up Costs (for Parents)</t>
  </si>
  <si>
    <t>E. 80 E Int Paid on Education Loan</t>
  </si>
  <si>
    <t>F. 80 DD Medical Treatment of handicapped Dependent</t>
  </si>
  <si>
    <t>G. 80DDB Expenditure on Selected Medical Treatment for self/ dependent</t>
  </si>
  <si>
    <t>H. 80G, 80GGA, 80GGC Donation to approved funds</t>
  </si>
  <si>
    <t xml:space="preserve">I. 80GG For Rent in case of NO HRA Component </t>
  </si>
  <si>
    <t>J. 80U For Physically Disable Assesse</t>
  </si>
  <si>
    <t xml:space="preserve">K. 80TTA (Rs 50,000 for Senior Citizens &amp; Rs 10,000 for others) </t>
  </si>
  <si>
    <r>
      <rPr>
        <b/>
        <sz val="11"/>
        <color theme="1"/>
        <rFont val="Calibri Light"/>
        <family val="2"/>
        <scheme val="major"/>
      </rPr>
      <t>Employer</t>
    </r>
    <r>
      <rPr>
        <sz val="11"/>
        <color theme="1"/>
        <rFont val="Calibri Light"/>
        <family val="2"/>
        <scheme val="major"/>
      </rPr>
      <t xml:space="preserve"> Contribution to National Pension Scheme</t>
    </r>
  </si>
  <si>
    <t>Mr. XYZ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</si>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</sst>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RaLEWAY"/>
    </font>
    <font>
      <sz val="10"/>
      <color theme="1"/>
      <name val="Abadi Extra Ligh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0"/>
      <color theme="10"/>
      <name val="Abadi Extra Light"/>
      <family val="2"/>
    </font>
    <font>
      <sz val="11"/>
      <color theme="1"/>
      <name val="Abadi Extra Light"/>
      <family val="2"/>
    </font>
    <font>
      <sz val="10"/>
      <color theme="1"/>
      <name val="Arial Nova Light"/>
      <family val="2"/>
    </font>
    <font>
      <u/>
      <sz val="10"/>
      <color theme="10"/>
      <name val="Arial Nova Light"/>
      <family val="2"/>
    </font>
    <font>
      <sz val="11"/>
      <color theme="0"/>
      <name val="Arial Nova Light"/>
      <family val="2"/>
    </font>
    <font>
      <b/>
      <sz val="10"/>
      <color theme="1"/>
      <name val="Calibri "/>
    </font>
    <font>
      <sz val="10"/>
      <color theme="1"/>
      <name val="Calibri "/>
    </font>
    <font>
      <b/>
      <u/>
      <sz val="10"/>
      <color theme="1"/>
      <name val="Calibri "/>
    </font>
    <font>
      <b/>
      <sz val="9"/>
      <color theme="1"/>
      <name val="Calibri "/>
    </font>
    <font>
      <sz val="9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1" xfId="0" applyFill="1" applyBorder="1"/>
    <xf numFmtId="43" fontId="0" fillId="2" borderId="0" xfId="1" applyFont="1" applyFill="1"/>
    <xf numFmtId="43" fontId="0" fillId="0" borderId="0" xfId="1" applyFont="1"/>
    <xf numFmtId="43" fontId="2" fillId="2" borderId="0" xfId="1" applyFont="1" applyFill="1"/>
    <xf numFmtId="0" fontId="0" fillId="2" borderId="0" xfId="0" applyFill="1" applyBorder="1"/>
    <xf numFmtId="0" fontId="0" fillId="2" borderId="2" xfId="0" applyFill="1" applyBorder="1"/>
    <xf numFmtId="43" fontId="2" fillId="0" borderId="0" xfId="1" applyFont="1"/>
    <xf numFmtId="43" fontId="2" fillId="2" borderId="0" xfId="1" applyFont="1" applyFill="1" applyBorder="1"/>
    <xf numFmtId="43" fontId="0" fillId="2" borderId="0" xfId="1" applyFont="1" applyFill="1" applyBorder="1"/>
    <xf numFmtId="0" fontId="0" fillId="0" borderId="0" xfId="0" applyBorder="1"/>
    <xf numFmtId="0" fontId="2" fillId="2" borderId="0" xfId="0" applyFont="1" applyFill="1" applyBorder="1"/>
    <xf numFmtId="0" fontId="2" fillId="2" borderId="0" xfId="0" quotePrefix="1" applyFont="1" applyFill="1"/>
    <xf numFmtId="0" fontId="2" fillId="0" borderId="0" xfId="0" applyFont="1"/>
    <xf numFmtId="0" fontId="0" fillId="3" borderId="1" xfId="0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43" fontId="0" fillId="0" borderId="0" xfId="1" applyFont="1" applyFill="1" applyBorder="1"/>
    <xf numFmtId="0" fontId="0" fillId="2" borderId="2" xfId="0" applyFont="1" applyFill="1" applyBorder="1"/>
    <xf numFmtId="0" fontId="0" fillId="2" borderId="6" xfId="0" applyFont="1" applyFill="1" applyBorder="1"/>
    <xf numFmtId="0" fontId="0" fillId="2" borderId="6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10" fontId="2" fillId="2" borderId="0" xfId="1" applyNumberFormat="1" applyFont="1" applyFill="1"/>
    <xf numFmtId="0" fontId="2" fillId="0" borderId="1" xfId="0" applyFont="1" applyBorder="1"/>
    <xf numFmtId="43" fontId="2" fillId="0" borderId="1" xfId="1" applyFont="1" applyBorder="1"/>
    <xf numFmtId="43" fontId="0" fillId="0" borderId="0" xfId="1" applyFont="1" applyFill="1" applyProtection="1">
      <protection locked="0"/>
    </xf>
    <xf numFmtId="43" fontId="0" fillId="0" borderId="0" xfId="1" applyFont="1" applyFill="1" applyAlignment="1" applyProtection="1">
      <alignment horizontal="center"/>
      <protection locked="0"/>
    </xf>
    <xf numFmtId="0" fontId="0" fillId="2" borderId="0" xfId="0" applyFill="1" applyProtection="1"/>
    <xf numFmtId="43" fontId="0" fillId="2" borderId="0" xfId="1" applyFont="1" applyFill="1" applyProtection="1"/>
    <xf numFmtId="43" fontId="2" fillId="2" borderId="0" xfId="1" applyFont="1" applyFill="1" applyAlignment="1" applyProtection="1">
      <alignment horizontal="right"/>
    </xf>
    <xf numFmtId="0" fontId="0" fillId="0" borderId="0" xfId="0" applyProtection="1"/>
    <xf numFmtId="0" fontId="2" fillId="2" borderId="0" xfId="0" applyFont="1" applyFill="1" applyAlignment="1" applyProtection="1">
      <alignment horizontal="right"/>
    </xf>
    <xf numFmtId="43" fontId="0" fillId="2" borderId="0" xfId="0" applyNumberFormat="1" applyFill="1" applyProtection="1"/>
    <xf numFmtId="0" fontId="0" fillId="2" borderId="2" xfId="0" applyFill="1" applyBorder="1" applyProtection="1"/>
    <xf numFmtId="43" fontId="0" fillId="2" borderId="2" xfId="1" applyFont="1" applyFill="1" applyBorder="1" applyProtection="1"/>
    <xf numFmtId="43" fontId="2" fillId="2" borderId="2" xfId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43" fontId="0" fillId="0" borderId="0" xfId="1" applyFont="1" applyProtection="1"/>
    <xf numFmtId="43" fontId="2" fillId="0" borderId="0" xfId="1" applyFont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164" fontId="0" fillId="2" borderId="0" xfId="1" applyNumberFormat="1" applyFont="1" applyFill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4" fillId="2" borderId="2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6" fillId="2" borderId="0" xfId="0" applyFont="1" applyFill="1" applyProtection="1"/>
    <xf numFmtId="0" fontId="6" fillId="2" borderId="2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8" fillId="2" borderId="0" xfId="3" applyFont="1" applyFill="1"/>
    <xf numFmtId="0" fontId="9" fillId="2" borderId="0" xfId="0" applyFont="1" applyFill="1"/>
    <xf numFmtId="0" fontId="9" fillId="0" borderId="0" xfId="0" applyFont="1"/>
    <xf numFmtId="0" fontId="0" fillId="2" borderId="0" xfId="0" applyFont="1" applyFill="1"/>
    <xf numFmtId="0" fontId="0" fillId="2" borderId="0" xfId="0" applyFont="1" applyFill="1" applyBorder="1"/>
    <xf numFmtId="0" fontId="0" fillId="0" borderId="0" xfId="0" applyFont="1"/>
    <xf numFmtId="0" fontId="10" fillId="2" borderId="0" xfId="0" applyFont="1" applyFill="1"/>
    <xf numFmtId="0" fontId="11" fillId="2" borderId="0" xfId="3" applyFont="1" applyFill="1"/>
    <xf numFmtId="0" fontId="14" fillId="2" borderId="0" xfId="0" applyFont="1" applyFill="1"/>
    <xf numFmtId="0" fontId="14" fillId="2" borderId="0" xfId="0" applyFont="1" applyFill="1" applyBorder="1"/>
    <xf numFmtId="0" fontId="14" fillId="2" borderId="2" xfId="0" applyFont="1" applyFill="1" applyBorder="1"/>
    <xf numFmtId="0" fontId="16" fillId="2" borderId="0" xfId="0" applyFont="1" applyFill="1" applyProtection="1"/>
    <xf numFmtId="0" fontId="17" fillId="2" borderId="0" xfId="0" applyFont="1" applyFill="1" applyProtection="1"/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3" fontId="2" fillId="2" borderId="0" xfId="1" applyFont="1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4">
    <cellStyle name="Comma" xfId="1" builtinId="3"/>
    <cellStyle name="Comma 2" xfId="2" xr:uid="{3EF469D1-FE98-4A31-A71B-F906F3EF3D71}"/>
    <cellStyle name="Hyperlink" xfId="3" builtinId="8"/>
    <cellStyle name="Normal" xfId="0" builtinId="0"/>
  </cellStyles>
  <dxfs count="5">
    <dxf>
      <fill>
        <patternFill>
          <bgColor rgb="FF0CAEA1"/>
        </patternFill>
      </fill>
    </dxf>
    <dxf>
      <fill>
        <patternFill>
          <bgColor rgb="FFF2F2F2"/>
        </patternFill>
      </fill>
    </dxf>
    <dxf>
      <fill>
        <patternFill>
          <bgColor rgb="FF0CAEA1"/>
        </patternFill>
      </fill>
    </dxf>
    <dxf>
      <fill>
        <patternFill>
          <bgColor rgb="FF0CAEA1"/>
        </patternFill>
      </fill>
    </dxf>
    <dxf>
      <fill>
        <patternFill>
          <bgColor rgb="FF0CAEA1"/>
        </patternFill>
      </fill>
    </dxf>
  </dxfs>
  <tableStyles count="0" defaultTableStyle="TableStyleMedium2" defaultPivotStyle="PivotStyleLight16"/>
  <colors>
    <mruColors>
      <color rgb="FFF2F2F2"/>
      <color rgb="FF0CAEA1"/>
      <color rgb="FF0CAEA2"/>
      <color rgb="FF2B3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2</xdr:col>
      <xdr:colOff>0</xdr:colOff>
      <xdr:row>28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38C259C-F49C-4FBE-A07A-3D25BDD3EF46}"/>
            </a:ext>
          </a:extLst>
        </xdr:cNvPr>
        <xdr:cNvSpPr/>
      </xdr:nvSpPr>
      <xdr:spPr>
        <a:xfrm>
          <a:off x="15240" y="7620"/>
          <a:ext cx="1386840" cy="4396740"/>
        </a:xfrm>
        <a:prstGeom prst="rect">
          <a:avLst/>
        </a:prstGeom>
        <a:solidFill>
          <a:srgbClr val="2B353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 editAs="oneCell">
    <xdr:from>
      <xdr:col>0</xdr:col>
      <xdr:colOff>30480</xdr:colOff>
      <xdr:row>16</xdr:row>
      <xdr:rowOff>76201</xdr:rowOff>
    </xdr:from>
    <xdr:to>
      <xdr:col>1</xdr:col>
      <xdr:colOff>777240</xdr:colOff>
      <xdr:row>19</xdr:row>
      <xdr:rowOff>121921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6B69AC-DB39-4781-974C-DFCC9F77A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2903221"/>
          <a:ext cx="135636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281940</xdr:colOff>
      <xdr:row>2</xdr:row>
      <xdr:rowOff>77254</xdr:rowOff>
    </xdr:from>
    <xdr:to>
      <xdr:col>4</xdr:col>
      <xdr:colOff>487680</xdr:colOff>
      <xdr:row>15</xdr:row>
      <xdr:rowOff>129540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FED7DC-6B4E-4082-ABB3-122A2AEA4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443014"/>
          <a:ext cx="2354580" cy="24297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1</xdr:row>
      <xdr:rowOff>0</xdr:rowOff>
    </xdr:from>
    <xdr:to>
      <xdr:col>2</xdr:col>
      <xdr:colOff>6977</xdr:colOff>
      <xdr:row>8</xdr:row>
      <xdr:rowOff>106037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6EE13D-4222-4D90-BD93-41E6164AB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82880"/>
          <a:ext cx="1393817" cy="1393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ABF5A65-6DFD-4C57-B142-6BA571F1B43B}"/>
            </a:ext>
          </a:extLst>
        </xdr:cNvPr>
        <xdr:cNvSpPr/>
      </xdr:nvSpPr>
      <xdr:spPr>
        <a:xfrm>
          <a:off x="0" y="0"/>
          <a:ext cx="1402080" cy="13205460"/>
        </a:xfrm>
        <a:prstGeom prst="rect">
          <a:avLst/>
        </a:prstGeom>
        <a:solidFill>
          <a:srgbClr val="2B353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 editAs="oneCell">
    <xdr:from>
      <xdr:col>0</xdr:col>
      <xdr:colOff>22860</xdr:colOff>
      <xdr:row>80</xdr:row>
      <xdr:rowOff>106680</xdr:rowOff>
    </xdr:from>
    <xdr:to>
      <xdr:col>1</xdr:col>
      <xdr:colOff>769620</xdr:colOff>
      <xdr:row>84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C04443A-D43C-49F6-8CBF-E25EF603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2870180"/>
          <a:ext cx="135636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327660</xdr:colOff>
      <xdr:row>65</xdr:row>
      <xdr:rowOff>45720</xdr:rowOff>
    </xdr:from>
    <xdr:to>
      <xdr:col>4</xdr:col>
      <xdr:colOff>533400</xdr:colOff>
      <xdr:row>79</xdr:row>
      <xdr:rowOff>106680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86D69FC-E728-42E5-A185-60380955D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10637520"/>
          <a:ext cx="2354580" cy="24155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1</xdr:row>
      <xdr:rowOff>7620</xdr:rowOff>
    </xdr:from>
    <xdr:to>
      <xdr:col>2</xdr:col>
      <xdr:colOff>6977</xdr:colOff>
      <xdr:row>9</xdr:row>
      <xdr:rowOff>15240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3FC90BF-C844-4C5F-A133-C66754C1F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90500"/>
          <a:ext cx="1393817" cy="1394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2</xdr:col>
      <xdr:colOff>0</xdr:colOff>
      <xdr:row>28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D216B9D-2F5A-4975-BC4C-EC19C17BA5AF}"/>
            </a:ext>
          </a:extLst>
        </xdr:cNvPr>
        <xdr:cNvSpPr/>
      </xdr:nvSpPr>
      <xdr:spPr>
        <a:xfrm>
          <a:off x="15240" y="7620"/>
          <a:ext cx="1386840" cy="4396740"/>
        </a:xfrm>
        <a:prstGeom prst="rect">
          <a:avLst/>
        </a:prstGeom>
        <a:solidFill>
          <a:srgbClr val="2B353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 editAs="oneCell">
    <xdr:from>
      <xdr:col>0</xdr:col>
      <xdr:colOff>22860</xdr:colOff>
      <xdr:row>25</xdr:row>
      <xdr:rowOff>38101</xdr:rowOff>
    </xdr:from>
    <xdr:to>
      <xdr:col>1</xdr:col>
      <xdr:colOff>769620</xdr:colOff>
      <xdr:row>27</xdr:row>
      <xdr:rowOff>167641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89C6D9-B46B-4205-B4D1-640728CC4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93821"/>
          <a:ext cx="135636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289560</xdr:colOff>
      <xdr:row>9</xdr:row>
      <xdr:rowOff>8674</xdr:rowOff>
    </xdr:from>
    <xdr:to>
      <xdr:col>4</xdr:col>
      <xdr:colOff>495300</xdr:colOff>
      <xdr:row>25</xdr:row>
      <xdr:rowOff>30480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06DBDE2-AF95-4B30-A832-BF3E17C74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456474"/>
          <a:ext cx="2354580" cy="24297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1</xdr:row>
      <xdr:rowOff>0</xdr:rowOff>
    </xdr:from>
    <xdr:to>
      <xdr:col>2</xdr:col>
      <xdr:colOff>6977</xdr:colOff>
      <xdr:row>9</xdr:row>
      <xdr:rowOff>128897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C5FC3F1-D58A-4729-89BE-79919752A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82880"/>
          <a:ext cx="1393817" cy="1393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associates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3019-16BD-4571-A4D1-6D485EAFF51D}">
  <sheetPr codeName="Sheet5"/>
  <dimension ref="A1:AK92"/>
  <sheetViews>
    <sheetView tabSelected="1" workbookViewId="0"/>
  </sheetViews>
  <sheetFormatPr defaultColWidth="0" defaultRowHeight="14.4" customHeight="1" zeroHeight="1"/>
  <cols>
    <col min="1" max="1" width="8.88671875" customWidth="1"/>
    <col min="2" max="2" width="11.5546875" customWidth="1"/>
    <col min="3" max="3" width="2" style="70" customWidth="1"/>
    <col min="4" max="4" width="8.88671875" style="67" customWidth="1"/>
    <col min="5" max="5" width="8.88671875" style="70" customWidth="1"/>
    <col min="6" max="8" width="8.88671875" customWidth="1"/>
    <col min="9" max="10" width="17.6640625" style="55" customWidth="1"/>
    <col min="11" max="11" width="2" style="9" customWidth="1"/>
    <col min="12" max="12" width="22" style="5" hidden="1" customWidth="1"/>
    <col min="13" max="13" width="9.88671875" hidden="1" customWidth="1"/>
    <col min="14" max="37" width="0" hidden="1" customWidth="1"/>
    <col min="38" max="16384" width="8.88671875" hidden="1"/>
  </cols>
  <sheetData>
    <row r="1" spans="1:37">
      <c r="A1" s="1"/>
      <c r="B1" s="1"/>
      <c r="C1" s="68"/>
      <c r="D1" s="59"/>
      <c r="E1" s="56"/>
      <c r="F1" s="56"/>
      <c r="G1" s="56"/>
      <c r="H1" s="56"/>
      <c r="I1" s="57"/>
      <c r="J1" s="57"/>
      <c r="K1" s="6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>
      <c r="A2" s="1"/>
      <c r="B2" s="1"/>
      <c r="C2" s="68"/>
      <c r="D2" s="79" t="s">
        <v>96</v>
      </c>
      <c r="E2" s="80"/>
      <c r="F2" s="80"/>
      <c r="G2" s="80"/>
      <c r="H2" s="80"/>
      <c r="I2" s="80"/>
      <c r="J2" s="80"/>
      <c r="K2" s="1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7" ht="24" customHeight="1">
      <c r="A3" s="1"/>
      <c r="B3" s="1"/>
      <c r="C3" s="68"/>
      <c r="D3" s="78" t="s">
        <v>92</v>
      </c>
      <c r="E3" s="78"/>
      <c r="F3" s="78"/>
      <c r="G3" s="78"/>
      <c r="H3" s="78"/>
      <c r="I3" s="78"/>
      <c r="J3" s="78"/>
      <c r="K3" s="1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7" ht="7.2" customHeight="1">
      <c r="A4" s="1"/>
      <c r="B4" s="1"/>
      <c r="C4" s="68"/>
      <c r="D4" s="78"/>
      <c r="E4" s="78"/>
      <c r="F4" s="78"/>
      <c r="G4" s="78"/>
      <c r="H4" s="78"/>
      <c r="I4" s="78"/>
      <c r="J4" s="78"/>
      <c r="K4" s="1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7">
      <c r="A5" s="1"/>
      <c r="B5" s="1"/>
      <c r="C5" s="68"/>
      <c r="D5" s="73" t="s">
        <v>93</v>
      </c>
      <c r="E5" s="73"/>
      <c r="F5" s="73"/>
      <c r="G5" s="73"/>
      <c r="H5" s="73"/>
      <c r="I5" s="73"/>
      <c r="J5" s="73"/>
      <c r="K5" s="1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7" ht="19.8" customHeight="1">
      <c r="A6" s="1"/>
      <c r="B6" s="1"/>
      <c r="C6" s="68"/>
      <c r="D6" s="73" t="s">
        <v>103</v>
      </c>
      <c r="E6" s="74"/>
      <c r="F6" s="74"/>
      <c r="G6" s="74"/>
      <c r="H6" s="74"/>
      <c r="I6" s="74"/>
      <c r="J6" s="74"/>
      <c r="K6" s="1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7" ht="7.2" customHeight="1">
      <c r="A7" s="1"/>
      <c r="B7" s="1"/>
      <c r="C7" s="68"/>
      <c r="D7" s="75"/>
      <c r="E7" s="75"/>
      <c r="F7" s="75"/>
      <c r="G7" s="75"/>
      <c r="H7" s="75"/>
      <c r="I7" s="75"/>
      <c r="J7" s="75"/>
      <c r="K7" s="1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7">
      <c r="A8" s="1"/>
      <c r="B8" s="1"/>
      <c r="C8" s="68"/>
      <c r="D8" s="73"/>
      <c r="E8" s="73"/>
      <c r="F8" s="73"/>
      <c r="G8" s="73"/>
      <c r="H8" s="73"/>
      <c r="I8" s="73"/>
      <c r="J8" s="73"/>
      <c r="K8" s="1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7" ht="14.4" customHeight="1">
      <c r="A9" s="1"/>
      <c r="B9" s="1"/>
      <c r="C9" s="69"/>
      <c r="D9" s="79" t="s">
        <v>97</v>
      </c>
      <c r="E9" s="80"/>
      <c r="F9" s="80"/>
      <c r="G9" s="80"/>
      <c r="H9" s="80"/>
      <c r="I9" s="80"/>
      <c r="J9" s="80"/>
      <c r="K9" s="1"/>
      <c r="L9" s="11"/>
      <c r="M9" s="7"/>
      <c r="N9" s="7"/>
      <c r="O9" s="7"/>
      <c r="P9" s="7"/>
      <c r="Q9" s="7"/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7" s="12" customFormat="1" ht="14.4" customHeight="1">
      <c r="A10" s="7"/>
      <c r="B10" s="7"/>
      <c r="C10" s="69"/>
      <c r="D10" s="78" t="s">
        <v>94</v>
      </c>
      <c r="E10" s="78"/>
      <c r="F10" s="78"/>
      <c r="G10" s="78"/>
      <c r="H10" s="78"/>
      <c r="I10" s="78"/>
      <c r="J10" s="78"/>
      <c r="K10" s="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8" customHeight="1">
      <c r="A11" s="1"/>
      <c r="B11" s="1"/>
      <c r="C11" s="68"/>
      <c r="D11" s="78"/>
      <c r="E11" s="78"/>
      <c r="F11" s="78"/>
      <c r="G11" s="78"/>
      <c r="H11" s="78"/>
      <c r="I11" s="78"/>
      <c r="J11" s="78"/>
      <c r="K11" s="1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7" ht="6.6" customHeight="1">
      <c r="A12" s="1"/>
      <c r="B12" s="1"/>
      <c r="C12" s="68"/>
      <c r="D12" s="78" t="s">
        <v>95</v>
      </c>
      <c r="E12" s="78"/>
      <c r="F12" s="78"/>
      <c r="G12" s="78"/>
      <c r="H12" s="78"/>
      <c r="I12" s="78"/>
      <c r="J12" s="78"/>
      <c r="K12" s="1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7" ht="22.8" customHeight="1">
      <c r="A13" s="1"/>
      <c r="B13" s="1"/>
      <c r="C13" s="68"/>
      <c r="D13" s="78"/>
      <c r="E13" s="78"/>
      <c r="F13" s="78"/>
      <c r="G13" s="78"/>
      <c r="H13" s="78"/>
      <c r="I13" s="78"/>
      <c r="J13" s="78"/>
      <c r="K13" s="1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7" ht="7.2" customHeight="1">
      <c r="A14" s="1"/>
      <c r="B14" s="1"/>
      <c r="C14" s="68"/>
      <c r="D14" s="78" t="s">
        <v>104</v>
      </c>
      <c r="E14" s="78"/>
      <c r="F14" s="78"/>
      <c r="G14" s="78"/>
      <c r="H14" s="78"/>
      <c r="I14" s="78"/>
      <c r="J14" s="78"/>
      <c r="K14" s="1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7" ht="16.8" customHeight="1">
      <c r="A15" s="1"/>
      <c r="B15" s="1"/>
      <c r="C15" s="68"/>
      <c r="D15" s="78"/>
      <c r="E15" s="78"/>
      <c r="F15" s="78"/>
      <c r="G15" s="78"/>
      <c r="H15" s="78"/>
      <c r="I15" s="78"/>
      <c r="J15" s="78"/>
      <c r="K15" s="1"/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7">
      <c r="A16" s="1"/>
      <c r="B16" s="1"/>
      <c r="C16" s="68"/>
      <c r="D16" s="73"/>
      <c r="E16" s="73"/>
      <c r="F16" s="73"/>
      <c r="G16" s="73"/>
      <c r="H16" s="73"/>
      <c r="I16" s="73"/>
      <c r="J16" s="73"/>
      <c r="K16" s="1"/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6.6" customHeight="1">
      <c r="A17" s="1"/>
      <c r="B17" s="1"/>
      <c r="C17" s="68"/>
      <c r="D17" s="60"/>
      <c r="E17" s="58"/>
      <c r="F17" s="58"/>
      <c r="G17" s="58"/>
      <c r="H17" s="58"/>
      <c r="I17" s="58"/>
      <c r="J17" s="58"/>
      <c r="K17" s="1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1"/>
      <c r="B18" s="1"/>
      <c r="C18" s="68"/>
      <c r="D18" s="59"/>
      <c r="E18" s="56"/>
      <c r="F18" s="56"/>
      <c r="G18" s="56"/>
      <c r="H18" s="56"/>
      <c r="I18" s="56"/>
      <c r="J18" s="56"/>
      <c r="K18" s="1"/>
      <c r="L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1"/>
      <c r="B19" s="1"/>
      <c r="C19" s="68"/>
      <c r="D19" s="65"/>
      <c r="E19" s="56"/>
      <c r="F19" s="56"/>
      <c r="G19" s="72" t="s">
        <v>102</v>
      </c>
      <c r="H19" s="71"/>
      <c r="I19" s="71"/>
      <c r="J19" s="56"/>
      <c r="K19" s="1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1"/>
      <c r="B20" s="1"/>
      <c r="C20" s="68"/>
      <c r="D20" s="59"/>
      <c r="E20" s="56"/>
      <c r="F20" s="56"/>
      <c r="G20" s="56"/>
      <c r="H20" s="56"/>
      <c r="I20" s="56"/>
      <c r="J20" s="56"/>
      <c r="K20" s="1"/>
      <c r="L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idden="1">
      <c r="A21" s="1"/>
      <c r="B21" s="1"/>
      <c r="C21" s="68"/>
      <c r="D21" s="66"/>
      <c r="E21" s="68"/>
      <c r="F21" s="1"/>
      <c r="G21" s="1"/>
      <c r="H21" s="1"/>
      <c r="I21" s="1"/>
      <c r="J21" s="1"/>
      <c r="K21" s="1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idden="1">
      <c r="A22" s="1"/>
      <c r="B22" s="1"/>
      <c r="C22" s="68"/>
      <c r="D22" s="66"/>
      <c r="E22" s="68"/>
      <c r="F22" s="1"/>
      <c r="G22" s="1"/>
      <c r="H22" s="1"/>
      <c r="I22" s="1"/>
      <c r="J22" s="1"/>
      <c r="K22" s="1"/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idden="1">
      <c r="A23" s="1"/>
      <c r="B23" s="1"/>
      <c r="C23" s="68"/>
      <c r="D23" s="66"/>
      <c r="E23" s="68"/>
      <c r="F23" s="1"/>
      <c r="G23" s="1"/>
      <c r="H23" s="1"/>
      <c r="I23" s="1"/>
      <c r="J23" s="1"/>
      <c r="K23" s="1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6" hidden="1" customHeight="1">
      <c r="A24" s="1"/>
      <c r="B24" s="1"/>
      <c r="C24" s="68"/>
      <c r="D24" s="66"/>
      <c r="E24" s="68"/>
      <c r="F24" s="1"/>
      <c r="G24" s="1"/>
      <c r="H24" s="1"/>
      <c r="I24" s="1"/>
      <c r="J24" s="1"/>
      <c r="K24" s="1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idden="1">
      <c r="A25" s="1"/>
      <c r="B25" s="1"/>
      <c r="C25" s="68"/>
      <c r="D25" s="66"/>
      <c r="E25" s="68"/>
      <c r="F25" s="1"/>
      <c r="G25" s="1"/>
      <c r="H25" s="1"/>
      <c r="I25" s="1"/>
      <c r="J25" s="1"/>
      <c r="K25" s="1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idden="1">
      <c r="A26" s="1"/>
      <c r="B26" s="1"/>
      <c r="C26" s="68"/>
      <c r="D26" s="66"/>
      <c r="E26" s="68"/>
      <c r="F26" s="1"/>
      <c r="G26" s="1"/>
      <c r="H26" s="1"/>
      <c r="I26" s="1"/>
      <c r="J26" s="1"/>
      <c r="K26" s="1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idden="1">
      <c r="A27" s="1"/>
      <c r="B27" s="1"/>
      <c r="C27" s="68"/>
      <c r="D27" s="66"/>
      <c r="E27" s="68"/>
      <c r="F27" s="1"/>
      <c r="G27" s="1"/>
      <c r="H27" s="1"/>
      <c r="I27" s="1"/>
      <c r="J27" s="1"/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idden="1">
      <c r="A28" s="1"/>
      <c r="B28" s="1"/>
      <c r="C28" s="68"/>
      <c r="D28" s="66"/>
      <c r="E28" s="68"/>
      <c r="F28" s="1"/>
      <c r="G28" s="1"/>
      <c r="H28" s="1"/>
      <c r="I28" s="1"/>
      <c r="J28" s="1"/>
      <c r="K28" s="1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idden="1"/>
    <row r="30" spans="1:35" hidden="1"/>
    <row r="31" spans="1:35" hidden="1"/>
    <row r="32" spans="1:35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t="14.4" hidden="1" customHeight="1"/>
    <row r="46" ht="14.4" hidden="1" customHeight="1"/>
    <row r="47" ht="14.4" hidden="1" customHeight="1"/>
    <row r="48" ht="14.4" hidden="1" customHeight="1"/>
    <row r="49" ht="14.4" hidden="1" customHeight="1"/>
    <row r="50" ht="14.4" hidden="1" customHeight="1"/>
    <row r="51" ht="14.4" hidden="1" customHeight="1"/>
    <row r="52" ht="14.4" hidden="1" customHeight="1"/>
    <row r="53" ht="14.4" hidden="1" customHeight="1"/>
    <row r="54" ht="14.4" hidden="1" customHeight="1"/>
    <row r="55" ht="14.4" hidden="1" customHeight="1"/>
    <row r="56" ht="14.4" hidden="1" customHeight="1"/>
    <row r="57" ht="14.4" hidden="1" customHeight="1"/>
    <row r="58" ht="14.4" hidden="1" customHeight="1"/>
    <row r="59" ht="14.4" hidden="1" customHeight="1"/>
    <row r="60" ht="14.4" hidden="1" customHeight="1"/>
    <row r="61" ht="14.4" hidden="1" customHeight="1"/>
    <row r="62" ht="14.4" hidden="1" customHeight="1"/>
    <row r="63" ht="14.4" hidden="1" customHeight="1"/>
    <row r="64" ht="14.4" hidden="1" customHeight="1"/>
    <row r="65" ht="14.4" hidden="1" customHeight="1"/>
    <row r="66" ht="14.4" hidden="1" customHeight="1"/>
    <row r="67" ht="14.4" hidden="1" customHeight="1"/>
    <row r="68" ht="14.4" hidden="1" customHeight="1"/>
    <row r="69" ht="14.4" hidden="1" customHeight="1"/>
    <row r="70" ht="14.4" hidden="1" customHeight="1"/>
    <row r="71" ht="14.4" hidden="1" customHeight="1"/>
    <row r="72" ht="14.4" hidden="1" customHeight="1"/>
    <row r="73" ht="14.4" hidden="1" customHeight="1"/>
    <row r="74" ht="14.4" hidden="1" customHeight="1"/>
    <row r="75" ht="14.4" hidden="1" customHeight="1"/>
    <row r="76" ht="14.4" hidden="1" customHeight="1"/>
    <row r="77" ht="14.4" hidden="1" customHeight="1"/>
    <row r="78" ht="14.4" hidden="1" customHeight="1"/>
    <row r="79" ht="14.4" hidden="1" customHeight="1"/>
    <row r="80" ht="14.4" hidden="1" customHeight="1"/>
    <row r="81" ht="14.4" hidden="1" customHeight="1"/>
    <row r="82" ht="14.4" hidden="1" customHeight="1"/>
    <row r="83" ht="14.4" hidden="1" customHeight="1"/>
    <row r="84" ht="14.4" hidden="1" customHeight="1"/>
    <row r="85" ht="14.4" hidden="1" customHeight="1"/>
    <row r="86" ht="14.4" hidden="1" customHeight="1"/>
    <row r="87" ht="14.4" hidden="1" customHeight="1"/>
    <row r="88" ht="14.4" hidden="1" customHeight="1"/>
    <row r="89" ht="14.4" hidden="1" customHeight="1"/>
    <row r="90" ht="14.4" hidden="1" customHeight="1"/>
    <row r="91" ht="14.4" hidden="1" customHeight="1"/>
    <row r="92" ht="14.4" hidden="1" customHeight="1"/>
  </sheetData>
  <sheetProtection algorithmName="SHA-512" hashValue="reLHIcauzyhxHHnogPY8wgbTVK0mVHT0N6gYpaWgs9G4+tDyPJ7kOBfyEZLgk32Iyha3LhtZSgZFHhIi7YQvVA==" saltValue="p4GxE35VWemCkdGvK1HcVw==" spinCount="100000" sheet="1" objects="1" scenarios="1"/>
  <mergeCells count="6">
    <mergeCell ref="D14:J15"/>
    <mergeCell ref="D2:J2"/>
    <mergeCell ref="D9:J9"/>
    <mergeCell ref="D3:J4"/>
    <mergeCell ref="D10:J11"/>
    <mergeCell ref="D12:J13"/>
  </mergeCells>
  <conditionalFormatting sqref="I25">
    <cfRule type="expression" dxfId="4" priority="2">
      <formula>$I$29</formula>
    </cfRule>
  </conditionalFormatting>
  <conditionalFormatting sqref="D27:J27">
    <cfRule type="expression" dxfId="3" priority="1">
      <formula>AND($I$25&gt;0,$J$25&gt;0)</formula>
    </cfRule>
  </conditionalFormatting>
  <hyperlinks>
    <hyperlink ref="G19" r:id="rId1" xr:uid="{01C88637-256E-4D29-8A76-2CF4BA61199D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J94"/>
  <sheetViews>
    <sheetView workbookViewId="0">
      <selection activeCell="I13" sqref="I13"/>
    </sheetView>
  </sheetViews>
  <sheetFormatPr defaultColWidth="0" defaultRowHeight="14.4" zeroHeight="1"/>
  <cols>
    <col min="1" max="1" width="8.88671875" style="37" customWidth="1"/>
    <col min="2" max="2" width="11.5546875" style="37" customWidth="1"/>
    <col min="3" max="3" width="2" style="37" customWidth="1"/>
    <col min="4" max="5" width="8.88671875" style="64" customWidth="1"/>
    <col min="6" max="7" width="8.88671875" style="37" customWidth="1"/>
    <col min="8" max="8" width="28.5546875" style="64" customWidth="1"/>
    <col min="9" max="9" width="17.6640625" style="44" customWidth="1"/>
    <col min="10" max="10" width="13.33203125" style="44" hidden="1" customWidth="1"/>
    <col min="11" max="11" width="6.44140625" style="44" customWidth="1"/>
    <col min="12" max="12" width="23.21875" style="45" customWidth="1"/>
    <col min="13" max="13" width="2" style="44" customWidth="1"/>
    <col min="14" max="14" width="9.88671875" style="37" hidden="1" customWidth="1"/>
    <col min="15" max="36" width="0" style="37" hidden="1" customWidth="1"/>
    <col min="37" max="16384" width="8.88671875" style="37" hidden="1"/>
  </cols>
  <sheetData>
    <row r="1" spans="1:36">
      <c r="A1" s="34"/>
      <c r="B1" s="34"/>
      <c r="C1" s="34"/>
      <c r="D1" s="61"/>
      <c r="E1" s="61"/>
      <c r="F1" s="34"/>
      <c r="G1" s="34"/>
      <c r="H1" s="61"/>
      <c r="I1" s="35"/>
      <c r="J1" s="35" t="s">
        <v>118</v>
      </c>
      <c r="K1" s="35"/>
      <c r="L1" s="36"/>
      <c r="M1" s="35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>
      <c r="A2" s="34"/>
      <c r="B2" s="34"/>
      <c r="C2" s="34"/>
      <c r="D2" s="61"/>
      <c r="E2" s="61"/>
      <c r="F2" s="34"/>
      <c r="G2" s="34"/>
      <c r="H2" s="61"/>
      <c r="I2" s="35"/>
      <c r="J2" s="35"/>
      <c r="K2" s="35"/>
      <c r="L2" s="36"/>
      <c r="M2" s="35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>
      <c r="A3" s="34"/>
      <c r="B3" s="34"/>
      <c r="C3" s="34"/>
      <c r="D3" s="61" t="s">
        <v>0</v>
      </c>
      <c r="E3" s="85" t="s">
        <v>117</v>
      </c>
      <c r="F3" s="85"/>
      <c r="G3" s="85"/>
      <c r="H3" s="61"/>
      <c r="I3" s="35"/>
      <c r="J3" s="35"/>
      <c r="K3" s="35"/>
      <c r="L3" s="36"/>
      <c r="M3" s="3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>
      <c r="A4" s="34"/>
      <c r="B4" s="34"/>
      <c r="C4" s="34"/>
      <c r="D4" s="61" t="s">
        <v>1</v>
      </c>
      <c r="E4" s="85">
        <v>35</v>
      </c>
      <c r="F4" s="85"/>
      <c r="G4" s="85"/>
      <c r="H4" s="61" t="s">
        <v>98</v>
      </c>
      <c r="I4" s="35"/>
      <c r="J4" s="35"/>
      <c r="K4" s="35"/>
      <c r="L4" s="36"/>
      <c r="M4" s="35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5" thickBot="1">
      <c r="A5" s="34"/>
      <c r="B5" s="34"/>
      <c r="C5" s="34"/>
      <c r="D5" s="61"/>
      <c r="E5" s="61"/>
      <c r="F5" s="34"/>
      <c r="G5" s="34"/>
      <c r="H5" s="61"/>
      <c r="I5" s="35"/>
      <c r="J5" s="35"/>
      <c r="K5" s="35"/>
      <c r="L5" s="36"/>
      <c r="M5" s="35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5" thickBot="1">
      <c r="A6" s="34"/>
      <c r="B6" s="34"/>
      <c r="C6" s="34"/>
      <c r="D6" s="82" t="s">
        <v>17</v>
      </c>
      <c r="E6" s="83"/>
      <c r="F6" s="83"/>
      <c r="G6" s="84"/>
      <c r="H6" s="61"/>
      <c r="I6" s="35"/>
      <c r="J6" s="35"/>
      <c r="K6" s="35"/>
      <c r="L6" s="36"/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7.2" customHeight="1">
      <c r="A7" s="34"/>
      <c r="B7" s="34"/>
      <c r="C7" s="34"/>
      <c r="D7" s="61"/>
      <c r="E7" s="61"/>
      <c r="F7" s="34"/>
      <c r="G7" s="34"/>
      <c r="H7" s="61"/>
      <c r="I7" s="35"/>
      <c r="J7" s="35"/>
      <c r="K7" s="35"/>
      <c r="L7" s="36"/>
      <c r="M7" s="35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>
      <c r="A8" s="34"/>
      <c r="B8" s="34"/>
      <c r="C8" s="34"/>
      <c r="D8" s="76" t="s">
        <v>2</v>
      </c>
      <c r="E8" s="61"/>
      <c r="F8" s="34"/>
      <c r="G8" s="34"/>
      <c r="H8" s="61"/>
      <c r="I8" s="32">
        <v>10050001</v>
      </c>
      <c r="J8" s="35"/>
      <c r="K8" s="35"/>
      <c r="L8" s="36"/>
      <c r="M8" s="35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>
      <c r="A9" s="34"/>
      <c r="B9" s="34"/>
      <c r="C9" s="34"/>
      <c r="D9" s="76"/>
      <c r="E9" s="61"/>
      <c r="F9" s="34"/>
      <c r="G9" s="34"/>
      <c r="H9" s="61"/>
      <c r="I9" s="34"/>
      <c r="J9" s="35"/>
      <c r="K9" s="35"/>
      <c r="L9" s="38" t="s">
        <v>47</v>
      </c>
      <c r="M9" s="35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5.4" customHeight="1">
      <c r="A10" s="34"/>
      <c r="B10" s="34"/>
      <c r="C10" s="34"/>
      <c r="D10" s="77"/>
      <c r="E10" s="61"/>
      <c r="F10" s="34"/>
      <c r="G10" s="34"/>
      <c r="H10" s="61"/>
      <c r="I10" s="35"/>
      <c r="J10" s="35"/>
      <c r="K10" s="35"/>
      <c r="L10" s="36"/>
      <c r="M10" s="35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>
      <c r="A11" s="34"/>
      <c r="B11" s="34"/>
      <c r="C11" s="34"/>
      <c r="D11" s="76" t="s">
        <v>11</v>
      </c>
      <c r="E11" s="61"/>
      <c r="F11" s="34"/>
      <c r="G11" s="34"/>
      <c r="H11" s="61"/>
      <c r="I11" s="35"/>
      <c r="J11" s="35"/>
      <c r="K11" s="35"/>
      <c r="L11" s="36">
        <f>IF((MIN(J13:J16))&gt;0,MIN(J13:J16),"Please check values entered")</f>
        <v>5000</v>
      </c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>
      <c r="A12" s="34"/>
      <c r="B12" s="34"/>
      <c r="C12" s="34"/>
      <c r="D12" s="61" t="s">
        <v>4</v>
      </c>
      <c r="E12" s="61"/>
      <c r="F12" s="34"/>
      <c r="G12" s="34"/>
      <c r="H12" s="61"/>
      <c r="I12" s="33" t="s">
        <v>99</v>
      </c>
      <c r="J12" s="35"/>
      <c r="K12" s="35"/>
      <c r="L12" s="36"/>
      <c r="M12" s="35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>
      <c r="A13" s="34"/>
      <c r="B13" s="34"/>
      <c r="C13" s="34"/>
      <c r="D13" s="61" t="s">
        <v>100</v>
      </c>
      <c r="E13" s="61"/>
      <c r="F13" s="34"/>
      <c r="G13" s="34"/>
      <c r="H13" s="61"/>
      <c r="I13" s="32">
        <v>50000</v>
      </c>
      <c r="J13" s="35">
        <f>IF(I12="Metro",(50%*(I13+I14)),(40%*(I13+I14)))</f>
        <v>220000</v>
      </c>
      <c r="K13" s="35"/>
      <c r="L13" s="36"/>
      <c r="M13" s="35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>
      <c r="A14" s="34"/>
      <c r="B14" s="34"/>
      <c r="C14" s="34"/>
      <c r="D14" s="61" t="s">
        <v>101</v>
      </c>
      <c r="E14" s="61"/>
      <c r="F14" s="34"/>
      <c r="G14" s="34"/>
      <c r="H14" s="61"/>
      <c r="I14" s="32">
        <v>500000</v>
      </c>
      <c r="J14" s="35"/>
      <c r="K14" s="35"/>
      <c r="L14" s="36"/>
      <c r="M14" s="35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>
      <c r="A15" s="34"/>
      <c r="B15" s="34"/>
      <c r="C15" s="34"/>
      <c r="D15" s="61" t="s">
        <v>5</v>
      </c>
      <c r="E15" s="61"/>
      <c r="F15" s="34"/>
      <c r="G15" s="34"/>
      <c r="H15" s="61"/>
      <c r="I15" s="32">
        <v>60000</v>
      </c>
      <c r="J15" s="35">
        <f>IF(I15&gt;0,(I15-(10%*(I13+I14))),0)</f>
        <v>5000</v>
      </c>
      <c r="K15" s="35"/>
      <c r="L15" s="36"/>
      <c r="M15" s="35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>
      <c r="A16" s="34"/>
      <c r="B16" s="34"/>
      <c r="C16" s="34"/>
      <c r="D16" s="61" t="s">
        <v>6</v>
      </c>
      <c r="E16" s="61"/>
      <c r="F16" s="34"/>
      <c r="G16" s="34"/>
      <c r="H16" s="61"/>
      <c r="I16" s="32">
        <v>12000</v>
      </c>
      <c r="J16" s="35">
        <f>I16</f>
        <v>12000</v>
      </c>
      <c r="K16" s="35"/>
      <c r="L16" s="36"/>
      <c r="M16" s="35"/>
      <c r="N16" s="39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ht="5.4" customHeight="1">
      <c r="A17" s="34"/>
      <c r="B17" s="34"/>
      <c r="C17" s="34"/>
      <c r="D17" s="61"/>
      <c r="E17" s="61"/>
      <c r="F17" s="34"/>
      <c r="G17" s="34"/>
      <c r="H17" s="61"/>
      <c r="I17" s="35"/>
      <c r="J17" s="35"/>
      <c r="K17" s="35"/>
      <c r="L17" s="36"/>
      <c r="M17" s="35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>
      <c r="A18" s="34"/>
      <c r="B18" s="34"/>
      <c r="C18" s="34"/>
      <c r="D18" s="76" t="s">
        <v>7</v>
      </c>
      <c r="E18" s="61"/>
      <c r="F18" s="34"/>
      <c r="G18" s="34"/>
      <c r="H18" s="61"/>
      <c r="I18" s="35"/>
      <c r="J18" s="35"/>
      <c r="K18" s="35"/>
      <c r="L18" s="36">
        <v>50000</v>
      </c>
      <c r="M18" s="35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5.4" customHeight="1">
      <c r="A19" s="34"/>
      <c r="B19" s="34"/>
      <c r="C19" s="34"/>
      <c r="D19" s="76"/>
      <c r="E19" s="61"/>
      <c r="F19" s="34"/>
      <c r="G19" s="34"/>
      <c r="H19" s="61"/>
      <c r="I19" s="35"/>
      <c r="J19" s="35"/>
      <c r="K19" s="35"/>
      <c r="L19" s="36"/>
      <c r="M19" s="35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>
      <c r="A20" s="34"/>
      <c r="B20" s="34"/>
      <c r="C20" s="34"/>
      <c r="D20" s="76" t="s">
        <v>8</v>
      </c>
      <c r="E20" s="61"/>
      <c r="F20" s="34"/>
      <c r="G20" s="34"/>
      <c r="H20" s="61"/>
      <c r="I20" s="32">
        <v>100000</v>
      </c>
      <c r="J20" s="35"/>
      <c r="K20" s="35"/>
      <c r="L20" s="36">
        <f>IF(I20&gt;0,I20,"0")</f>
        <v>100000</v>
      </c>
      <c r="M20" s="35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5.4" customHeight="1">
      <c r="A21" s="34"/>
      <c r="B21" s="34"/>
      <c r="C21" s="34"/>
      <c r="D21" s="76"/>
      <c r="E21" s="61"/>
      <c r="F21" s="34"/>
      <c r="G21" s="34"/>
      <c r="H21" s="61"/>
      <c r="I21" s="35"/>
      <c r="J21" s="35"/>
      <c r="K21" s="35"/>
      <c r="L21" s="36"/>
      <c r="M21" s="3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>
      <c r="A22" s="34"/>
      <c r="B22" s="34"/>
      <c r="C22" s="34"/>
      <c r="D22" s="76" t="s">
        <v>10</v>
      </c>
      <c r="E22" s="61"/>
      <c r="F22" s="34"/>
      <c r="G22" s="34"/>
      <c r="H22" s="61"/>
      <c r="I22" s="32">
        <v>2400</v>
      </c>
      <c r="J22" s="35"/>
      <c r="K22" s="35"/>
      <c r="L22" s="36">
        <f>IF(I22&gt;0,I22,"0")</f>
        <v>2400</v>
      </c>
      <c r="M22" s="3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ht="6" customHeight="1">
      <c r="A23" s="34"/>
      <c r="B23" s="34"/>
      <c r="C23" s="40"/>
      <c r="D23" s="62"/>
      <c r="E23" s="62"/>
      <c r="F23" s="40"/>
      <c r="G23" s="40"/>
      <c r="H23" s="62"/>
      <c r="I23" s="41"/>
      <c r="J23" s="41"/>
      <c r="K23" s="41"/>
      <c r="L23" s="42"/>
      <c r="M23" s="41"/>
      <c r="N23" s="40"/>
      <c r="O23" s="40"/>
      <c r="P23" s="40"/>
      <c r="Q23" s="40"/>
      <c r="R23" s="40"/>
      <c r="S23" s="40"/>
      <c r="T23" s="40"/>
      <c r="U23" s="40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5" thickBot="1">
      <c r="A24" s="34"/>
      <c r="B24" s="34"/>
      <c r="C24" s="34"/>
      <c r="D24" s="61"/>
      <c r="E24" s="61"/>
      <c r="F24" s="34"/>
      <c r="G24" s="34"/>
      <c r="H24" s="61"/>
      <c r="I24" s="35"/>
      <c r="J24" s="35"/>
      <c r="K24" s="35"/>
      <c r="L24" s="36"/>
      <c r="M24" s="35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ht="15" thickBot="1">
      <c r="A25" s="34"/>
      <c r="B25" s="34"/>
      <c r="C25" s="34"/>
      <c r="D25" s="82" t="s">
        <v>18</v>
      </c>
      <c r="E25" s="83"/>
      <c r="F25" s="83"/>
      <c r="G25" s="84"/>
      <c r="H25" s="61"/>
      <c r="I25" s="35"/>
      <c r="J25" s="35"/>
      <c r="K25" s="35"/>
      <c r="L25" s="36"/>
      <c r="M25" s="3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>
      <c r="A26" s="34"/>
      <c r="B26" s="34"/>
      <c r="C26" s="34"/>
      <c r="D26" s="63"/>
      <c r="E26" s="63"/>
      <c r="F26" s="43"/>
      <c r="G26" s="43"/>
      <c r="H26" s="61"/>
      <c r="I26" s="35"/>
      <c r="J26" s="35"/>
      <c r="K26" s="35"/>
      <c r="L26" s="38" t="s">
        <v>47</v>
      </c>
      <c r="M26" s="35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ht="7.2" customHeight="1">
      <c r="A27" s="34"/>
      <c r="B27" s="34"/>
      <c r="C27" s="34"/>
      <c r="D27" s="61"/>
      <c r="E27" s="61"/>
      <c r="F27" s="34"/>
      <c r="G27" s="34"/>
      <c r="H27" s="61"/>
      <c r="I27" s="35"/>
      <c r="J27" s="35"/>
      <c r="K27" s="35"/>
      <c r="L27" s="36"/>
      <c r="M27" s="35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>
      <c r="A28" s="34"/>
      <c r="B28" s="34"/>
      <c r="C28" s="34"/>
      <c r="D28" s="76" t="s">
        <v>12</v>
      </c>
      <c r="E28" s="61"/>
      <c r="F28" s="34"/>
      <c r="G28" s="34"/>
      <c r="H28" s="61"/>
      <c r="I28" s="32">
        <v>100000</v>
      </c>
      <c r="J28" s="35"/>
      <c r="K28" s="35"/>
      <c r="L28" s="36">
        <f>I28*30%</f>
        <v>30000</v>
      </c>
      <c r="M28" s="35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>
      <c r="A29" s="34"/>
      <c r="B29" s="34"/>
      <c r="C29" s="34"/>
      <c r="D29" s="76" t="s">
        <v>13</v>
      </c>
      <c r="E29" s="61"/>
      <c r="F29" s="34"/>
      <c r="G29" s="34"/>
      <c r="H29" s="61"/>
      <c r="I29" s="32">
        <v>0</v>
      </c>
      <c r="J29" s="35"/>
      <c r="K29" s="35"/>
      <c r="L29" s="36">
        <f>IF(I29&gt;200000,200000,I29)</f>
        <v>0</v>
      </c>
      <c r="M29" s="35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>
      <c r="A30" s="34"/>
      <c r="B30" s="34"/>
      <c r="C30" s="34"/>
      <c r="D30" s="76" t="s">
        <v>14</v>
      </c>
      <c r="E30" s="61"/>
      <c r="F30" s="34"/>
      <c r="G30" s="34"/>
      <c r="H30" s="61"/>
      <c r="I30" s="32">
        <v>0</v>
      </c>
      <c r="J30" s="35"/>
      <c r="K30" s="35"/>
      <c r="L30" s="36">
        <f>IF(I30&gt;50000,50000,I30)</f>
        <v>0</v>
      </c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ht="6" customHeight="1">
      <c r="A31" s="34"/>
      <c r="B31" s="34"/>
      <c r="C31" s="40"/>
      <c r="D31" s="62"/>
      <c r="E31" s="62"/>
      <c r="F31" s="40"/>
      <c r="G31" s="40"/>
      <c r="H31" s="62"/>
      <c r="I31" s="41"/>
      <c r="J31" s="41"/>
      <c r="K31" s="41"/>
      <c r="L31" s="42"/>
      <c r="M31" s="41"/>
      <c r="N31" s="40"/>
      <c r="O31" s="40"/>
      <c r="P31" s="40"/>
      <c r="Q31" s="40"/>
      <c r="R31" s="40"/>
      <c r="S31" s="40"/>
      <c r="T31" s="40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ht="15" thickBot="1">
      <c r="A32" s="34"/>
      <c r="B32" s="34"/>
      <c r="C32" s="34"/>
      <c r="D32" s="61"/>
      <c r="E32" s="61"/>
      <c r="F32" s="34"/>
      <c r="G32" s="34"/>
      <c r="H32" s="61"/>
      <c r="I32" s="35"/>
      <c r="J32" s="35"/>
      <c r="K32" s="35"/>
      <c r="L32" s="36"/>
      <c r="M32" s="35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5" thickBot="1">
      <c r="A33" s="34"/>
      <c r="B33" s="34"/>
      <c r="C33" s="34"/>
      <c r="D33" s="82" t="s">
        <v>19</v>
      </c>
      <c r="E33" s="83"/>
      <c r="F33" s="83"/>
      <c r="G33" s="84"/>
      <c r="H33" s="61"/>
      <c r="I33" s="35"/>
      <c r="J33" s="35"/>
      <c r="K33" s="35"/>
      <c r="L33" s="36"/>
      <c r="M33" s="35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7.2" customHeight="1">
      <c r="A34" s="34"/>
      <c r="B34" s="34"/>
      <c r="C34" s="34"/>
      <c r="D34" s="61"/>
      <c r="E34" s="61"/>
      <c r="F34" s="34"/>
      <c r="G34" s="34"/>
      <c r="H34" s="61"/>
      <c r="I34" s="35"/>
      <c r="J34" s="35"/>
      <c r="K34" s="35"/>
      <c r="L34" s="36"/>
      <c r="M34" s="35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>
      <c r="A35" s="34"/>
      <c r="B35" s="34"/>
      <c r="C35" s="34"/>
      <c r="D35" s="76" t="s">
        <v>105</v>
      </c>
      <c r="E35" s="61"/>
      <c r="F35" s="34"/>
      <c r="G35" s="34"/>
      <c r="H35" s="61"/>
      <c r="I35" s="32">
        <v>12000</v>
      </c>
      <c r="J35" s="35"/>
      <c r="K35" s="35"/>
      <c r="L35" s="36"/>
      <c r="M35" s="35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>
      <c r="A36" s="34"/>
      <c r="B36" s="34"/>
      <c r="C36" s="34"/>
      <c r="D36" s="76" t="s">
        <v>20</v>
      </c>
      <c r="E36" s="61"/>
      <c r="F36" s="34"/>
      <c r="G36" s="34"/>
      <c r="H36" s="61"/>
      <c r="I36" s="32"/>
      <c r="J36" s="35"/>
      <c r="K36" s="35"/>
      <c r="L36" s="36"/>
      <c r="M36" s="35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>
      <c r="A37" s="34"/>
      <c r="B37" s="34"/>
      <c r="C37" s="34"/>
      <c r="D37" s="76" t="s">
        <v>21</v>
      </c>
      <c r="E37" s="61"/>
      <c r="F37" s="34"/>
      <c r="G37" s="34"/>
      <c r="H37" s="61"/>
      <c r="I37" s="32"/>
      <c r="J37" s="35"/>
      <c r="K37" s="35"/>
      <c r="L37" s="36"/>
      <c r="M37" s="35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>
      <c r="A38" s="34"/>
      <c r="B38" s="34"/>
      <c r="C38" s="34"/>
      <c r="D38" s="76" t="s">
        <v>22</v>
      </c>
      <c r="E38" s="61"/>
      <c r="F38" s="34"/>
      <c r="G38" s="34"/>
      <c r="H38" s="61"/>
      <c r="I38" s="32"/>
      <c r="J38" s="35"/>
      <c r="K38" s="35"/>
      <c r="L38" s="36"/>
      <c r="M38" s="3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ht="5.4" customHeight="1">
      <c r="A39" s="34"/>
      <c r="B39" s="34"/>
      <c r="C39" s="40"/>
      <c r="D39" s="62"/>
      <c r="E39" s="62"/>
      <c r="F39" s="40"/>
      <c r="G39" s="40"/>
      <c r="H39" s="62"/>
      <c r="I39" s="40"/>
      <c r="J39" s="40"/>
      <c r="K39" s="40"/>
      <c r="L39" s="46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15" thickBot="1">
      <c r="A40" s="34"/>
      <c r="B40" s="34"/>
      <c r="C40" s="34"/>
      <c r="D40" s="61"/>
      <c r="E40" s="61"/>
      <c r="F40" s="34"/>
      <c r="G40" s="34"/>
      <c r="H40" s="61"/>
      <c r="I40" s="35"/>
      <c r="J40" s="35"/>
      <c r="K40" s="35"/>
      <c r="L40" s="36"/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5" thickBot="1">
      <c r="A41" s="34"/>
      <c r="B41" s="34"/>
      <c r="C41" s="34"/>
      <c r="D41" s="82" t="s">
        <v>24</v>
      </c>
      <c r="E41" s="83"/>
      <c r="F41" s="83"/>
      <c r="G41" s="84"/>
      <c r="H41" s="61"/>
      <c r="I41" s="34"/>
      <c r="J41" s="34"/>
      <c r="K41" s="34"/>
      <c r="L41" s="38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>
      <c r="A42" s="34"/>
      <c r="B42" s="34"/>
      <c r="C42" s="34"/>
      <c r="D42" s="61"/>
      <c r="E42" s="61"/>
      <c r="F42" s="34"/>
      <c r="G42" s="34"/>
      <c r="H42" s="61"/>
      <c r="I42" s="34"/>
      <c r="J42" s="34"/>
      <c r="K42" s="34"/>
      <c r="L42" s="38" t="s">
        <v>47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6">
      <c r="A43" s="34"/>
      <c r="B43" s="34"/>
      <c r="C43" s="34"/>
      <c r="D43" s="76" t="s">
        <v>25</v>
      </c>
      <c r="E43" s="61"/>
      <c r="F43" s="34"/>
      <c r="G43" s="34"/>
      <c r="H43" s="61"/>
      <c r="I43" s="34"/>
      <c r="J43" s="34"/>
      <c r="K43" s="34"/>
      <c r="L43" s="36">
        <f>IF(SUM(I44:I58)&gt;150000,150000,SUM(I44:I58))</f>
        <v>150000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6">
      <c r="A44" s="34"/>
      <c r="B44" s="34"/>
      <c r="C44" s="34"/>
      <c r="D44" s="61" t="s">
        <v>26</v>
      </c>
      <c r="E44" s="61"/>
      <c r="F44" s="34"/>
      <c r="G44" s="34"/>
      <c r="H44" s="61"/>
      <c r="I44" s="32">
        <v>56000</v>
      </c>
      <c r="J44" s="34"/>
      <c r="K44" s="34"/>
      <c r="L44" s="38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6">
      <c r="A45" s="34"/>
      <c r="B45" s="34"/>
      <c r="C45" s="34"/>
      <c r="D45" s="61" t="s">
        <v>27</v>
      </c>
      <c r="E45" s="61"/>
      <c r="F45" s="34"/>
      <c r="G45" s="34"/>
      <c r="H45" s="61"/>
      <c r="I45" s="32"/>
      <c r="J45" s="34"/>
      <c r="K45" s="34"/>
      <c r="L45" s="38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6">
      <c r="A46" s="34"/>
      <c r="B46" s="34"/>
      <c r="C46" s="34"/>
      <c r="D46" s="61" t="s">
        <v>28</v>
      </c>
      <c r="E46" s="61"/>
      <c r="F46" s="34"/>
      <c r="G46" s="34"/>
      <c r="H46" s="61"/>
      <c r="I46" s="32"/>
      <c r="J46" s="34"/>
      <c r="K46" s="34"/>
      <c r="L46" s="38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6">
      <c r="A47" s="34"/>
      <c r="B47" s="34"/>
      <c r="C47" s="34"/>
      <c r="D47" s="61" t="s">
        <v>29</v>
      </c>
      <c r="E47" s="61"/>
      <c r="F47" s="34"/>
      <c r="G47" s="34"/>
      <c r="H47" s="61"/>
      <c r="I47" s="32"/>
      <c r="J47" s="34"/>
      <c r="K47" s="34"/>
      <c r="L47" s="38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6">
      <c r="A48" s="34"/>
      <c r="B48" s="34"/>
      <c r="C48" s="34"/>
      <c r="D48" s="61" t="s">
        <v>30</v>
      </c>
      <c r="E48" s="61"/>
      <c r="F48" s="34"/>
      <c r="G48" s="34"/>
      <c r="H48" s="61"/>
      <c r="I48" s="32"/>
      <c r="J48" s="34"/>
      <c r="K48" s="34"/>
      <c r="L48" s="38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>
      <c r="A49" s="34"/>
      <c r="B49" s="34"/>
      <c r="C49" s="34"/>
      <c r="D49" s="61" t="s">
        <v>31</v>
      </c>
      <c r="E49" s="61"/>
      <c r="F49" s="34"/>
      <c r="G49" s="34"/>
      <c r="H49" s="61"/>
      <c r="I49" s="32"/>
      <c r="J49" s="34"/>
      <c r="K49" s="34"/>
      <c r="L49" s="38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>
      <c r="A50" s="34"/>
      <c r="B50" s="34"/>
      <c r="C50" s="34"/>
      <c r="D50" s="61" t="s">
        <v>32</v>
      </c>
      <c r="E50" s="61"/>
      <c r="F50" s="34"/>
      <c r="G50" s="34"/>
      <c r="H50" s="61"/>
      <c r="I50" s="32"/>
      <c r="J50" s="34"/>
      <c r="K50" s="34"/>
      <c r="L50" s="38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>
      <c r="A51" s="34"/>
      <c r="B51" s="34"/>
      <c r="C51" s="34"/>
      <c r="D51" s="61" t="s">
        <v>33</v>
      </c>
      <c r="E51" s="61"/>
      <c r="F51" s="34"/>
      <c r="G51" s="34"/>
      <c r="H51" s="61"/>
      <c r="I51" s="32"/>
      <c r="J51" s="34"/>
      <c r="K51" s="34"/>
      <c r="L51" s="38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>
      <c r="A52" s="34"/>
      <c r="B52" s="34"/>
      <c r="C52" s="34"/>
      <c r="D52" s="61" t="s">
        <v>34</v>
      </c>
      <c r="E52" s="61"/>
      <c r="F52" s="34"/>
      <c r="G52" s="34"/>
      <c r="H52" s="61"/>
      <c r="I52" s="32"/>
      <c r="J52" s="34"/>
      <c r="K52" s="34"/>
      <c r="L52" s="38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>
      <c r="A53" s="34"/>
      <c r="B53" s="34"/>
      <c r="C53" s="34"/>
      <c r="D53" s="61" t="s">
        <v>35</v>
      </c>
      <c r="E53" s="61"/>
      <c r="F53" s="34"/>
      <c r="G53" s="34"/>
      <c r="H53" s="61"/>
      <c r="I53" s="32"/>
      <c r="J53" s="34"/>
      <c r="K53" s="34"/>
      <c r="L53" s="38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>
      <c r="A54" s="34"/>
      <c r="B54" s="34"/>
      <c r="C54" s="34"/>
      <c r="D54" s="61" t="s">
        <v>36</v>
      </c>
      <c r="E54" s="61"/>
      <c r="F54" s="34"/>
      <c r="G54" s="34"/>
      <c r="H54" s="61"/>
      <c r="I54" s="32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>
      <c r="A55" s="34"/>
      <c r="B55" s="34"/>
      <c r="C55" s="34"/>
      <c r="D55" s="61" t="s">
        <v>91</v>
      </c>
      <c r="E55" s="61"/>
      <c r="F55" s="34"/>
      <c r="G55" s="34"/>
      <c r="H55" s="61"/>
      <c r="I55" s="32">
        <v>100605</v>
      </c>
      <c r="J55" s="34"/>
      <c r="K55" s="34"/>
      <c r="L55" s="38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>
      <c r="A56" s="34"/>
      <c r="B56" s="34"/>
      <c r="C56" s="34"/>
      <c r="D56" s="61" t="s">
        <v>37</v>
      </c>
      <c r="E56" s="61"/>
      <c r="F56" s="34"/>
      <c r="G56" s="34"/>
      <c r="H56" s="61"/>
      <c r="I56" s="32"/>
      <c r="J56" s="34"/>
      <c r="K56" s="34"/>
      <c r="L56" s="38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>
      <c r="A57" s="34"/>
      <c r="B57" s="34"/>
      <c r="C57" s="34"/>
      <c r="D57" s="61" t="s">
        <v>38</v>
      </c>
      <c r="E57" s="61"/>
      <c r="F57" s="34"/>
      <c r="G57" s="34"/>
      <c r="H57" s="61"/>
      <c r="I57" s="32"/>
      <c r="J57" s="34"/>
      <c r="K57" s="34"/>
      <c r="L57" s="38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>
      <c r="A58" s="34"/>
      <c r="B58" s="34"/>
      <c r="C58" s="34"/>
      <c r="D58" s="61" t="s">
        <v>39</v>
      </c>
      <c r="E58" s="61"/>
      <c r="F58" s="34"/>
      <c r="G58" s="34"/>
      <c r="H58" s="61"/>
      <c r="I58" s="32"/>
      <c r="J58" s="34"/>
      <c r="K58" s="34"/>
      <c r="L58" s="38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6" customHeight="1">
      <c r="A59" s="34"/>
      <c r="B59" s="34"/>
      <c r="C59" s="34"/>
      <c r="D59" s="61"/>
      <c r="E59" s="61"/>
      <c r="F59" s="34"/>
      <c r="G59" s="34"/>
      <c r="H59" s="61"/>
      <c r="I59" s="34"/>
      <c r="J59" s="34"/>
      <c r="K59" s="34"/>
      <c r="L59" s="38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>
      <c r="A60" s="34"/>
      <c r="B60" s="34"/>
      <c r="C60" s="34"/>
      <c r="D60" s="76" t="s">
        <v>61</v>
      </c>
      <c r="E60" s="61"/>
      <c r="F60" s="34"/>
      <c r="G60" s="34"/>
      <c r="H60" s="61"/>
      <c r="I60" s="34"/>
      <c r="J60" s="34"/>
      <c r="K60" s="34"/>
      <c r="L60" s="38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>
      <c r="A61" s="34"/>
      <c r="B61" s="34"/>
      <c r="C61" s="34"/>
      <c r="D61" s="61" t="s">
        <v>84</v>
      </c>
      <c r="E61" s="61"/>
      <c r="F61" s="34"/>
      <c r="G61" s="34"/>
      <c r="H61" s="61"/>
      <c r="I61" s="32"/>
      <c r="J61" s="34"/>
      <c r="K61" s="34"/>
      <c r="L61" s="36">
        <f>IF(I61&gt;50000,50000,I61)</f>
        <v>0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ht="6.6" customHeight="1">
      <c r="A62" s="34"/>
      <c r="B62" s="34"/>
      <c r="C62" s="34"/>
      <c r="D62" s="61"/>
      <c r="E62" s="61"/>
      <c r="F62" s="34"/>
      <c r="G62" s="34"/>
      <c r="H62" s="61"/>
      <c r="I62" s="34"/>
      <c r="J62" s="34"/>
      <c r="K62" s="34"/>
      <c r="L62" s="38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>
      <c r="A63" s="34"/>
      <c r="B63" s="34"/>
      <c r="C63" s="34"/>
      <c r="D63" s="76" t="s">
        <v>41</v>
      </c>
      <c r="E63" s="61"/>
      <c r="F63" s="34"/>
      <c r="G63" s="34"/>
      <c r="H63" s="61"/>
      <c r="I63" s="34"/>
      <c r="J63" s="34"/>
      <c r="K63" s="34"/>
      <c r="L63" s="38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>
      <c r="A64" s="34"/>
      <c r="B64" s="34"/>
      <c r="C64" s="34"/>
      <c r="D64" s="61" t="s">
        <v>116</v>
      </c>
      <c r="E64" s="61"/>
      <c r="F64" s="34"/>
      <c r="G64" s="34"/>
      <c r="H64" s="61"/>
      <c r="I64" s="32"/>
      <c r="J64" s="34"/>
      <c r="K64" s="34"/>
      <c r="L64" s="36">
        <f>IF(I64&gt;(I13*10%),(I13*10%),I64)</f>
        <v>0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ht="7.2" customHeight="1">
      <c r="A65" s="34"/>
      <c r="B65" s="34"/>
      <c r="C65" s="34"/>
      <c r="D65" s="61"/>
      <c r="E65" s="61"/>
      <c r="F65" s="34"/>
      <c r="G65" s="34"/>
      <c r="H65" s="61"/>
      <c r="I65" s="34"/>
      <c r="J65" s="34"/>
      <c r="K65" s="34"/>
      <c r="L65" s="38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>
      <c r="A66" s="34"/>
      <c r="B66" s="34"/>
      <c r="C66" s="34"/>
      <c r="D66" s="76" t="s">
        <v>42</v>
      </c>
      <c r="E66" s="61"/>
      <c r="F66" s="34"/>
      <c r="G66" s="34"/>
      <c r="H66" s="61"/>
      <c r="I66" s="34"/>
      <c r="J66" s="34"/>
      <c r="K66" s="34"/>
      <c r="L66" s="38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>
      <c r="A67" s="34"/>
      <c r="B67" s="34"/>
      <c r="C67" s="34"/>
      <c r="D67" s="61" t="s">
        <v>43</v>
      </c>
      <c r="E67" s="61"/>
      <c r="F67" s="34"/>
      <c r="G67" s="34"/>
      <c r="H67" s="61"/>
      <c r="I67" s="32">
        <v>124500</v>
      </c>
      <c r="J67" s="34"/>
      <c r="K67" s="34"/>
      <c r="L67" s="36">
        <f>IF(I67&gt;150000,150000,I67)</f>
        <v>124500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ht="6.6" customHeight="1">
      <c r="A68" s="34"/>
      <c r="B68" s="34"/>
      <c r="C68" s="34"/>
      <c r="D68" s="61"/>
      <c r="E68" s="61"/>
      <c r="F68" s="34"/>
      <c r="G68" s="34"/>
      <c r="H68" s="61"/>
      <c r="I68" s="34"/>
      <c r="J68" s="34"/>
      <c r="K68" s="34"/>
      <c r="L68" s="38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>
      <c r="A69" s="34"/>
      <c r="B69" s="34"/>
      <c r="C69" s="34"/>
      <c r="D69" s="76" t="s">
        <v>44</v>
      </c>
      <c r="E69" s="61"/>
      <c r="F69" s="34"/>
      <c r="G69" s="34"/>
      <c r="H69" s="61"/>
      <c r="I69" s="34"/>
      <c r="J69" s="34"/>
      <c r="K69" s="34"/>
      <c r="L69" s="38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>
      <c r="A70" s="34"/>
      <c r="B70" s="34"/>
      <c r="C70" s="34"/>
      <c r="D70" s="61" t="s">
        <v>45</v>
      </c>
      <c r="E70" s="61"/>
      <c r="F70" s="34"/>
      <c r="G70" s="34"/>
      <c r="H70" s="61"/>
      <c r="I70" s="32"/>
      <c r="J70" s="34"/>
      <c r="K70" s="34"/>
      <c r="L70" s="36">
        <f>IF(I70&gt;150000,150000,I70)</f>
        <v>0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6" customHeight="1">
      <c r="A71" s="34"/>
      <c r="B71" s="34"/>
      <c r="C71" s="34"/>
      <c r="D71" s="61"/>
      <c r="E71" s="61"/>
      <c r="F71" s="34"/>
      <c r="G71" s="34"/>
      <c r="H71" s="61"/>
      <c r="I71" s="34"/>
      <c r="J71" s="34"/>
      <c r="K71" s="34"/>
      <c r="L71" s="38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>
      <c r="A72" s="34"/>
      <c r="B72" s="34"/>
      <c r="C72" s="34"/>
      <c r="D72" s="76" t="s">
        <v>40</v>
      </c>
      <c r="E72" s="61"/>
      <c r="F72" s="34"/>
      <c r="G72" s="34"/>
      <c r="H72" s="61"/>
      <c r="I72" s="34"/>
      <c r="J72" s="34"/>
      <c r="K72" s="34"/>
      <c r="L72" s="38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>
      <c r="A73" s="34"/>
      <c r="B73" s="34"/>
      <c r="C73" s="34"/>
      <c r="D73" s="61" t="s">
        <v>46</v>
      </c>
      <c r="E73" s="61"/>
      <c r="F73" s="34"/>
      <c r="G73" s="34"/>
      <c r="H73" s="61"/>
      <c r="I73" s="32">
        <v>34000</v>
      </c>
      <c r="J73" s="34"/>
      <c r="K73" s="34"/>
      <c r="L73" s="81">
        <f>IF(AND($E$4&gt;=60,(I73+I74)&gt;=50000),50000,IF(AND($E$4&gt;=60,(I73+I74)&lt;50000),(I73+I74),IF(AND($E$4&lt;60,(I73+I74)&gt;=25000),25000,IF(AND($E$4&lt;60,(I73+I74)&lt;25000),(I73+I74),0))))</f>
        <v>25000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>
      <c r="A74" s="34"/>
      <c r="B74" s="34"/>
      <c r="C74" s="34"/>
      <c r="D74" s="61" t="s">
        <v>107</v>
      </c>
      <c r="E74" s="61"/>
      <c r="F74" s="34"/>
      <c r="G74" s="34"/>
      <c r="H74" s="61"/>
      <c r="I74" s="32">
        <v>25000</v>
      </c>
      <c r="J74" s="34"/>
      <c r="K74" s="34"/>
      <c r="L74" s="81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>
      <c r="A75" s="34"/>
      <c r="B75" s="34"/>
      <c r="C75" s="34"/>
      <c r="D75" s="61" t="s">
        <v>106</v>
      </c>
      <c r="E75" s="61"/>
      <c r="F75" s="34"/>
      <c r="G75" s="34"/>
      <c r="H75" s="61"/>
      <c r="I75" s="32">
        <v>56000</v>
      </c>
      <c r="J75" s="34"/>
      <c r="K75" s="34"/>
      <c r="L75" s="81">
        <f>IF(AND($E$4&gt;=60,(I75+I76)&gt;=50000),50000,IF(AND($E$4&gt;=60,(I75+I76)&lt;50000),(I75+I76),IF(AND($E$4&lt;60,(I75+I76)&gt;=25000),25000,IF(AND($E$4&lt;60,(I75+I76)&lt;25000),(I75+I76),0))))</f>
        <v>25000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>
      <c r="A76" s="34"/>
      <c r="B76" s="34"/>
      <c r="C76" s="34"/>
      <c r="D76" s="61" t="s">
        <v>108</v>
      </c>
      <c r="E76" s="61"/>
      <c r="F76" s="34"/>
      <c r="G76" s="34"/>
      <c r="H76" s="61"/>
      <c r="I76" s="32">
        <v>25000</v>
      </c>
      <c r="J76" s="34"/>
      <c r="K76" s="34"/>
      <c r="L76" s="81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>
      <c r="A77" s="34"/>
      <c r="B77" s="34"/>
      <c r="C77" s="34"/>
      <c r="D77" s="61" t="s">
        <v>109</v>
      </c>
      <c r="E77" s="61"/>
      <c r="F77" s="34"/>
      <c r="G77" s="34"/>
      <c r="H77" s="61"/>
      <c r="I77" s="32"/>
      <c r="J77" s="34"/>
      <c r="K77" s="34"/>
      <c r="L77" s="36">
        <f>I77</f>
        <v>0</v>
      </c>
      <c r="M77" s="34"/>
      <c r="N77" s="34"/>
      <c r="O77" s="34"/>
      <c r="P77" s="34"/>
      <c r="Q77" s="34"/>
      <c r="R77" s="34"/>
      <c r="S77" s="34"/>
    </row>
    <row r="78" spans="1:32">
      <c r="A78" s="34"/>
      <c r="B78" s="34"/>
      <c r="C78" s="34"/>
      <c r="D78" s="61" t="s">
        <v>110</v>
      </c>
      <c r="E78" s="61"/>
      <c r="F78" s="34"/>
      <c r="G78" s="34"/>
      <c r="H78" s="61"/>
      <c r="I78" s="32"/>
      <c r="J78" s="34"/>
      <c r="K78" s="34"/>
      <c r="L78" s="36">
        <f>IF(I78&gt;75000,75000,I78)</f>
        <v>0</v>
      </c>
      <c r="M78" s="34"/>
      <c r="N78" s="34"/>
      <c r="O78" s="34"/>
      <c r="P78" s="34"/>
      <c r="Q78" s="34"/>
      <c r="R78" s="34"/>
      <c r="S78" s="34"/>
    </row>
    <row r="79" spans="1:32">
      <c r="A79" s="34"/>
      <c r="B79" s="34"/>
      <c r="C79" s="34"/>
      <c r="D79" s="61" t="s">
        <v>111</v>
      </c>
      <c r="E79" s="61"/>
      <c r="F79" s="34"/>
      <c r="G79" s="34"/>
      <c r="H79" s="61"/>
      <c r="I79" s="32"/>
      <c r="J79" s="34"/>
      <c r="K79" s="34"/>
      <c r="L79" s="36">
        <f>IF(AND(E4&gt;=60,I79&gt;=100000),100000,IF(AND(E4&gt;=60,I79&lt;100000),I79,IF(AND(E4&lt;60,I79&gt;=40000),40000,IF(AND(E4&lt;60,I79&lt;40000),I79,0))))</f>
        <v>0</v>
      </c>
      <c r="M79" s="34"/>
      <c r="N79" s="34"/>
      <c r="O79" s="34"/>
      <c r="P79" s="34"/>
      <c r="Q79" s="34"/>
      <c r="R79" s="34"/>
      <c r="S79" s="34"/>
    </row>
    <row r="80" spans="1:32">
      <c r="A80" s="34"/>
      <c r="B80" s="34"/>
      <c r="C80" s="34"/>
      <c r="D80" s="61" t="s">
        <v>112</v>
      </c>
      <c r="E80" s="61"/>
      <c r="F80" s="34"/>
      <c r="G80" s="34"/>
      <c r="H80" s="61"/>
      <c r="I80" s="32"/>
      <c r="J80" s="34"/>
      <c r="K80" s="34"/>
      <c r="L80" s="36">
        <f>I80</f>
        <v>0</v>
      </c>
      <c r="M80" s="34"/>
      <c r="N80" s="34"/>
      <c r="O80" s="34"/>
      <c r="P80" s="34"/>
      <c r="Q80" s="34"/>
      <c r="R80" s="34"/>
      <c r="S80" s="34"/>
    </row>
    <row r="81" spans="1:19">
      <c r="A81" s="34"/>
      <c r="B81" s="34"/>
      <c r="C81" s="34"/>
      <c r="D81" s="61" t="s">
        <v>113</v>
      </c>
      <c r="E81" s="61"/>
      <c r="F81" s="34"/>
      <c r="G81" s="34"/>
      <c r="H81" s="61"/>
      <c r="I81" s="32"/>
      <c r="J81" s="34"/>
      <c r="K81" s="34"/>
      <c r="L81" s="36">
        <f>IF(I81&gt;60000,60000,I81)</f>
        <v>0</v>
      </c>
      <c r="M81" s="34"/>
      <c r="N81" s="34"/>
      <c r="O81" s="34"/>
      <c r="P81" s="34"/>
      <c r="Q81" s="34"/>
      <c r="R81" s="34"/>
      <c r="S81" s="34"/>
    </row>
    <row r="82" spans="1:19">
      <c r="A82" s="34"/>
      <c r="B82" s="34"/>
      <c r="C82" s="34"/>
      <c r="D82" s="61" t="s">
        <v>114</v>
      </c>
      <c r="E82" s="61"/>
      <c r="F82" s="34"/>
      <c r="G82" s="34"/>
      <c r="H82" s="61"/>
      <c r="I82" s="32"/>
      <c r="J82" s="34"/>
      <c r="K82" s="34"/>
      <c r="L82" s="36">
        <f>IF(I82&gt;75000,75000,I82)</f>
        <v>0</v>
      </c>
      <c r="M82" s="34"/>
      <c r="N82" s="34"/>
      <c r="O82" s="34"/>
      <c r="P82" s="34"/>
      <c r="Q82" s="34"/>
      <c r="R82" s="34"/>
      <c r="S82" s="34"/>
    </row>
    <row r="83" spans="1:19">
      <c r="A83" s="34"/>
      <c r="B83" s="34"/>
      <c r="C83" s="34"/>
      <c r="D83" s="61" t="s">
        <v>115</v>
      </c>
      <c r="E83" s="61"/>
      <c r="F83" s="34"/>
      <c r="G83" s="34"/>
      <c r="H83" s="61"/>
      <c r="I83" s="34"/>
      <c r="J83" s="34"/>
      <c r="K83" s="34"/>
      <c r="L83" s="36">
        <f>IF(AND(E4&gt;=60,(I35+I36)&gt;=50000),50000,IF(AND(E4&gt;=60,(I35+I36)&lt;50000),(I35+I36),IF(AND(E4&lt;60,I35&gt;=10000),10000,IF(AND(E4&lt;60,I35&lt;10000),I35,0))))</f>
        <v>10000</v>
      </c>
      <c r="M83" s="34"/>
      <c r="N83" s="34"/>
      <c r="O83" s="34"/>
      <c r="P83" s="34"/>
      <c r="Q83" s="34"/>
      <c r="R83" s="34"/>
      <c r="S83" s="34"/>
    </row>
    <row r="84" spans="1:19" ht="6" customHeight="1">
      <c r="A84" s="34"/>
      <c r="B84" s="34"/>
      <c r="C84" s="34"/>
      <c r="D84" s="61"/>
      <c r="E84" s="61"/>
      <c r="F84" s="34"/>
      <c r="G84" s="34"/>
      <c r="H84" s="61"/>
      <c r="I84" s="34"/>
      <c r="J84" s="34"/>
      <c r="K84" s="34"/>
      <c r="L84" s="38"/>
      <c r="M84" s="34"/>
      <c r="N84" s="34"/>
      <c r="O84" s="34"/>
      <c r="P84" s="34"/>
      <c r="Q84" s="34"/>
      <c r="R84" s="34"/>
      <c r="S84" s="34"/>
    </row>
    <row r="85" spans="1:19" hidden="1">
      <c r="A85" s="34"/>
      <c r="B85" s="34"/>
      <c r="C85" s="34"/>
      <c r="D85" s="61"/>
      <c r="E85" s="61"/>
      <c r="F85" s="34"/>
      <c r="G85" s="34"/>
      <c r="H85" s="61"/>
      <c r="I85" s="34"/>
      <c r="J85" s="34"/>
      <c r="K85" s="34"/>
      <c r="L85" s="38"/>
      <c r="M85" s="34"/>
      <c r="N85" s="34"/>
      <c r="O85" s="34"/>
      <c r="P85" s="34"/>
      <c r="Q85" s="34"/>
      <c r="R85" s="34"/>
      <c r="S85" s="34"/>
    </row>
    <row r="86" spans="1:19" hidden="1">
      <c r="A86" s="34"/>
      <c r="B86" s="34"/>
      <c r="C86" s="34"/>
      <c r="D86" s="61"/>
      <c r="E86" s="61"/>
      <c r="F86" s="34"/>
      <c r="G86" s="34"/>
      <c r="H86" s="61"/>
      <c r="I86" s="34"/>
      <c r="J86" s="34"/>
      <c r="K86" s="34"/>
      <c r="L86" s="38"/>
      <c r="M86" s="34"/>
      <c r="N86" s="34"/>
      <c r="O86" s="34"/>
      <c r="P86" s="34"/>
      <c r="Q86" s="34"/>
      <c r="R86" s="34"/>
      <c r="S86" s="34"/>
    </row>
    <row r="87" spans="1:19" hidden="1">
      <c r="A87" s="34"/>
      <c r="B87" s="34"/>
      <c r="C87" s="34"/>
      <c r="D87" s="61"/>
      <c r="E87" s="61"/>
      <c r="F87" s="34"/>
      <c r="G87" s="34"/>
      <c r="H87" s="61"/>
      <c r="I87" s="34"/>
      <c r="J87" s="34"/>
      <c r="K87" s="34"/>
      <c r="L87" s="38"/>
      <c r="M87" s="34"/>
      <c r="N87" s="34"/>
      <c r="O87" s="34"/>
      <c r="P87" s="34"/>
      <c r="Q87" s="34"/>
      <c r="R87" s="34"/>
      <c r="S87" s="34"/>
    </row>
    <row r="88" spans="1:19" hidden="1">
      <c r="A88" s="34"/>
      <c r="B88" s="34"/>
      <c r="C88" s="34"/>
      <c r="D88" s="61"/>
      <c r="E88" s="61"/>
      <c r="F88" s="34"/>
      <c r="G88" s="34"/>
      <c r="H88" s="61"/>
      <c r="I88" s="34"/>
      <c r="J88" s="34"/>
      <c r="K88" s="34"/>
      <c r="L88" s="38"/>
      <c r="M88" s="34"/>
      <c r="N88" s="34"/>
      <c r="O88" s="34"/>
      <c r="P88" s="34"/>
      <c r="Q88" s="34"/>
      <c r="R88" s="34"/>
      <c r="S88" s="34"/>
    </row>
    <row r="89" spans="1:19" hidden="1">
      <c r="A89" s="34"/>
      <c r="B89" s="34"/>
      <c r="C89" s="34"/>
      <c r="D89" s="61"/>
      <c r="E89" s="61"/>
      <c r="F89" s="34"/>
      <c r="G89" s="34"/>
      <c r="H89" s="61"/>
      <c r="I89" s="34"/>
      <c r="J89" s="34"/>
      <c r="K89" s="34"/>
      <c r="L89" s="38"/>
      <c r="M89" s="34"/>
      <c r="N89" s="34"/>
      <c r="O89" s="34"/>
      <c r="P89" s="34"/>
      <c r="Q89" s="34"/>
      <c r="R89" s="34"/>
      <c r="S89" s="34"/>
    </row>
    <row r="90" spans="1:19" hidden="1">
      <c r="A90" s="34"/>
      <c r="B90" s="34"/>
      <c r="C90" s="34"/>
      <c r="D90" s="61"/>
      <c r="E90" s="61"/>
      <c r="F90" s="34"/>
      <c r="G90" s="34"/>
      <c r="H90" s="61"/>
      <c r="I90" s="34"/>
      <c r="J90" s="34"/>
      <c r="K90" s="34"/>
      <c r="L90" s="38"/>
      <c r="M90" s="34"/>
      <c r="N90" s="34"/>
      <c r="O90" s="34"/>
      <c r="P90" s="34"/>
      <c r="Q90" s="34"/>
      <c r="R90" s="34"/>
      <c r="S90" s="34"/>
    </row>
    <row r="91" spans="1:19" hidden="1">
      <c r="A91" s="34"/>
      <c r="B91" s="34"/>
      <c r="C91" s="34"/>
      <c r="D91" s="61"/>
      <c r="E91" s="61"/>
      <c r="F91" s="34"/>
      <c r="G91" s="34"/>
      <c r="H91" s="61"/>
      <c r="I91" s="34"/>
      <c r="J91" s="34"/>
      <c r="K91" s="34"/>
      <c r="L91" s="38"/>
      <c r="M91" s="34"/>
      <c r="N91" s="34"/>
      <c r="O91" s="34"/>
      <c r="P91" s="34"/>
      <c r="Q91" s="34"/>
      <c r="R91" s="34"/>
      <c r="S91" s="34"/>
    </row>
    <row r="92" spans="1:19" hidden="1">
      <c r="A92" s="34"/>
      <c r="B92" s="34"/>
      <c r="C92" s="34"/>
      <c r="D92" s="61"/>
      <c r="E92" s="61"/>
      <c r="F92" s="34"/>
      <c r="G92" s="34"/>
      <c r="H92" s="61"/>
      <c r="I92" s="34"/>
      <c r="J92" s="34"/>
      <c r="K92" s="34"/>
      <c r="L92" s="38"/>
      <c r="M92" s="34"/>
      <c r="N92" s="34"/>
      <c r="O92" s="34"/>
      <c r="P92" s="34"/>
      <c r="Q92" s="34"/>
      <c r="R92" s="34"/>
      <c r="S92" s="34"/>
    </row>
    <row r="93" spans="1:19" hidden="1">
      <c r="A93" s="34"/>
      <c r="B93" s="34"/>
      <c r="C93" s="34"/>
      <c r="D93" s="61"/>
      <c r="E93" s="61"/>
      <c r="F93" s="34"/>
      <c r="G93" s="34"/>
      <c r="H93" s="61"/>
      <c r="I93" s="34"/>
      <c r="J93" s="34"/>
      <c r="K93" s="34"/>
      <c r="L93" s="38"/>
      <c r="M93" s="34"/>
      <c r="N93" s="34"/>
      <c r="O93" s="34"/>
      <c r="P93" s="34"/>
      <c r="Q93" s="34"/>
      <c r="R93" s="34"/>
      <c r="S93" s="34"/>
    </row>
    <row r="94" spans="1:19" hidden="1">
      <c r="A94" s="34"/>
      <c r="B94" s="34"/>
      <c r="C94" s="34"/>
      <c r="D94" s="61"/>
      <c r="E94" s="61"/>
      <c r="F94" s="34"/>
      <c r="G94" s="34"/>
      <c r="H94" s="61"/>
      <c r="I94" s="34"/>
      <c r="J94" s="34"/>
      <c r="K94" s="34"/>
      <c r="L94" s="38"/>
      <c r="M94" s="34"/>
      <c r="N94" s="34"/>
      <c r="O94" s="34"/>
      <c r="P94" s="34"/>
      <c r="Q94" s="34"/>
      <c r="R94" s="34"/>
      <c r="S94" s="34"/>
    </row>
  </sheetData>
  <sheetProtection algorithmName="SHA-512" hashValue="AeiItSfHK/3W1C49xULuXvarI+8EgVUr2uO1Te4h/dQ2+rAIuxCNxBUdwQ+DdU0etH5z42mQIscMqNyl+LHDyQ==" saltValue="l/2E/qR2sGHStv0rV1zlDA==" spinCount="100000" sheet="1" objects="1" scenarios="1"/>
  <mergeCells count="8">
    <mergeCell ref="L73:L74"/>
    <mergeCell ref="L75:L76"/>
    <mergeCell ref="D33:G33"/>
    <mergeCell ref="D41:G41"/>
    <mergeCell ref="E3:G3"/>
    <mergeCell ref="E4:G4"/>
    <mergeCell ref="D6:G6"/>
    <mergeCell ref="D25:G25"/>
  </mergeCells>
  <dataValidations count="1">
    <dataValidation type="list" allowBlank="1" showInputMessage="1" showErrorMessage="1" sqref="I12" xr:uid="{F77AFA07-1A78-40DD-AFEA-724DF953442B}">
      <formula1>"Metro, Non Metro"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354BA-007F-4852-97C5-F08054C2074F}">
  <sheetPr codeName="Sheet1"/>
  <dimension ref="A1:AK74"/>
  <sheetViews>
    <sheetView workbookViewId="0"/>
  </sheetViews>
  <sheetFormatPr defaultColWidth="0" defaultRowHeight="14.4" zeroHeight="1"/>
  <cols>
    <col min="1" max="1" width="8.88671875" customWidth="1"/>
    <col min="2" max="2" width="11.5546875" customWidth="1"/>
    <col min="3" max="3" width="2" customWidth="1"/>
    <col min="4" max="8" width="8.88671875" customWidth="1"/>
    <col min="9" max="10" width="17.6640625" style="55" customWidth="1"/>
    <col min="11" max="11" width="2" style="9" customWidth="1"/>
    <col min="12" max="12" width="22" style="5" hidden="1" customWidth="1"/>
    <col min="13" max="13" width="9.88671875" hidden="1" customWidth="1"/>
    <col min="14" max="37" width="0" hidden="1" customWidth="1"/>
    <col min="38" max="16384" width="8.88671875" hidden="1"/>
  </cols>
  <sheetData>
    <row r="1" spans="1:37">
      <c r="A1" s="1"/>
      <c r="B1" s="1"/>
      <c r="C1" s="1"/>
      <c r="D1" s="1"/>
      <c r="E1" s="1"/>
      <c r="F1" s="1"/>
      <c r="G1" s="1"/>
      <c r="H1" s="1"/>
      <c r="I1" s="47"/>
      <c r="J1" s="47"/>
      <c r="K1" s="6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>
      <c r="A2" s="1"/>
      <c r="B2" s="1"/>
      <c r="C2" s="1"/>
      <c r="D2" s="1"/>
      <c r="E2" s="1"/>
      <c r="F2" s="1"/>
      <c r="G2" s="1"/>
      <c r="H2" s="1"/>
      <c r="I2" s="47"/>
      <c r="J2" s="47"/>
      <c r="K2" s="6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7">
      <c r="A3" s="1"/>
      <c r="B3" s="1"/>
      <c r="C3" s="1"/>
      <c r="D3" s="1"/>
      <c r="E3" s="1"/>
      <c r="F3" s="1"/>
      <c r="G3" s="1"/>
      <c r="H3" s="1"/>
      <c r="I3" s="47"/>
      <c r="J3" s="47"/>
      <c r="K3" s="6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7">
      <c r="A4" s="1"/>
      <c r="B4" s="1"/>
      <c r="C4" s="1"/>
      <c r="D4" s="86"/>
      <c r="E4" s="86"/>
      <c r="F4" s="86"/>
      <c r="G4" s="86"/>
      <c r="H4" s="86"/>
      <c r="I4" s="48" t="s">
        <v>15</v>
      </c>
      <c r="J4" s="48" t="s">
        <v>82</v>
      </c>
      <c r="K4" s="6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7">
      <c r="A5" s="1"/>
      <c r="B5" s="1"/>
      <c r="C5" s="1"/>
      <c r="D5" s="2" t="s">
        <v>2</v>
      </c>
      <c r="E5" s="1"/>
      <c r="F5" s="1"/>
      <c r="G5" s="1"/>
      <c r="H5" s="1"/>
      <c r="I5" s="47">
        <f>Input!I8</f>
        <v>10050001</v>
      </c>
      <c r="J5" s="47">
        <f>Input!I8</f>
        <v>10050001</v>
      </c>
      <c r="K5" s="6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7">
      <c r="A6" s="1"/>
      <c r="B6" s="1"/>
      <c r="C6" s="1"/>
      <c r="D6" s="2" t="s">
        <v>9</v>
      </c>
      <c r="E6" s="1"/>
      <c r="F6" s="1"/>
      <c r="G6" s="1"/>
      <c r="H6" s="1"/>
      <c r="I6" s="47">
        <f>IFERROR(IF(I5&gt;0,(Input!L11+Input!L18+Input!L20+Input!L22),0),)</f>
        <v>157400</v>
      </c>
      <c r="J6" s="47">
        <v>0</v>
      </c>
      <c r="K6" s="6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7" ht="7.2" customHeight="1">
      <c r="A7" s="1"/>
      <c r="B7" s="1"/>
      <c r="C7" s="1"/>
      <c r="D7" s="2"/>
      <c r="E7" s="1"/>
      <c r="F7" s="1"/>
      <c r="G7" s="1"/>
      <c r="H7" s="1"/>
      <c r="I7" s="47"/>
      <c r="J7" s="47"/>
      <c r="K7" s="6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7">
      <c r="A8" s="1"/>
      <c r="B8" s="1"/>
      <c r="C8" s="1"/>
      <c r="D8" s="2" t="s">
        <v>3</v>
      </c>
      <c r="E8" s="1"/>
      <c r="F8" s="1"/>
      <c r="G8" s="1"/>
      <c r="H8" s="1"/>
      <c r="I8" s="47">
        <f>I5-I6</f>
        <v>9892601</v>
      </c>
      <c r="J8" s="47">
        <f>J5-J6</f>
        <v>10050001</v>
      </c>
      <c r="K8" s="6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7" ht="6" customHeight="1">
      <c r="A9" s="1"/>
      <c r="B9" s="1"/>
      <c r="C9" s="7"/>
      <c r="D9" s="7"/>
      <c r="E9" s="7"/>
      <c r="F9" s="7"/>
      <c r="G9" s="7"/>
      <c r="H9" s="7"/>
      <c r="I9" s="49"/>
      <c r="J9" s="49"/>
      <c r="K9" s="10"/>
      <c r="L9" s="11"/>
      <c r="M9" s="7"/>
      <c r="N9" s="7"/>
      <c r="O9" s="7"/>
      <c r="P9" s="7"/>
      <c r="Q9" s="7"/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7" s="12" customFormat="1">
      <c r="A10" s="7"/>
      <c r="B10" s="7"/>
      <c r="C10" s="7"/>
      <c r="D10" s="13" t="s">
        <v>16</v>
      </c>
      <c r="E10" s="7"/>
      <c r="F10" s="7"/>
      <c r="G10" s="7"/>
      <c r="H10" s="7"/>
      <c r="I10" s="50">
        <f>Input!I28-Input!L28-Input!L29-Input!L30</f>
        <v>70000</v>
      </c>
      <c r="J10" s="47">
        <f>I10</f>
        <v>70000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6" customHeight="1">
      <c r="A11" s="1"/>
      <c r="B11" s="1"/>
      <c r="C11" s="1"/>
      <c r="D11" s="1"/>
      <c r="E11" s="1"/>
      <c r="F11" s="1"/>
      <c r="G11" s="1"/>
      <c r="H11" s="1"/>
      <c r="I11" s="47"/>
      <c r="J11" s="47"/>
      <c r="K11" s="6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7">
      <c r="A12" s="1"/>
      <c r="B12" s="1"/>
      <c r="C12" s="1"/>
      <c r="D12" s="13" t="s">
        <v>23</v>
      </c>
      <c r="E12" s="1"/>
      <c r="F12" s="1"/>
      <c r="G12" s="1"/>
      <c r="H12" s="1"/>
      <c r="I12" s="47">
        <f>SUM(Input!I35:I38)</f>
        <v>12000</v>
      </c>
      <c r="J12" s="47">
        <f>I12</f>
        <v>12000</v>
      </c>
      <c r="K12" s="6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7" ht="6" customHeight="1">
      <c r="A13" s="1"/>
      <c r="B13" s="1"/>
      <c r="C13" s="1"/>
      <c r="D13" s="1"/>
      <c r="E13" s="1"/>
      <c r="F13" s="1"/>
      <c r="G13" s="1"/>
      <c r="H13" s="1"/>
      <c r="I13" s="47"/>
      <c r="J13" s="47"/>
      <c r="K13" s="6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7">
      <c r="A14" s="1"/>
      <c r="B14" s="1"/>
      <c r="C14" s="1"/>
      <c r="D14" s="2" t="s">
        <v>48</v>
      </c>
      <c r="E14" s="1"/>
      <c r="F14" s="1"/>
      <c r="G14" s="1"/>
      <c r="H14" s="1"/>
      <c r="I14" s="47">
        <f>I8+I10+I12</f>
        <v>9974601</v>
      </c>
      <c r="J14" s="47">
        <f>J8+J10+J12</f>
        <v>10132001</v>
      </c>
      <c r="K14" s="6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7" ht="6" customHeight="1">
      <c r="A15" s="1"/>
      <c r="B15" s="1"/>
      <c r="C15" s="1"/>
      <c r="D15" s="1"/>
      <c r="E15" s="1"/>
      <c r="F15" s="1"/>
      <c r="G15" s="1"/>
      <c r="H15" s="1"/>
      <c r="I15" s="47"/>
      <c r="J15" s="47"/>
      <c r="K15" s="6"/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7">
      <c r="A16" s="1"/>
      <c r="B16" s="1"/>
      <c r="C16" s="1"/>
      <c r="D16" s="14" t="s">
        <v>49</v>
      </c>
      <c r="E16" s="1"/>
      <c r="F16" s="1"/>
      <c r="G16" s="1"/>
      <c r="H16" s="1"/>
      <c r="I16" s="47">
        <f>IF(I5&gt;0,(Input!L43+Input!L61+Input!L64+Input!L67+Input!L70+SUM(Input!L73:L83)),0)</f>
        <v>334500</v>
      </c>
      <c r="J16" s="47">
        <f>IF(J5&gt;0,Input!L64,0)</f>
        <v>0</v>
      </c>
      <c r="K16" s="6"/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6.6" customHeight="1">
      <c r="A17" s="1"/>
      <c r="B17" s="1"/>
      <c r="C17" s="1"/>
      <c r="D17" s="1"/>
      <c r="E17" s="1"/>
      <c r="F17" s="1"/>
      <c r="G17" s="1"/>
      <c r="H17" s="1"/>
      <c r="I17" s="47"/>
      <c r="J17" s="47"/>
      <c r="K17" s="6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1"/>
      <c r="B18" s="1"/>
      <c r="C18" s="1"/>
      <c r="D18" s="2" t="s">
        <v>50</v>
      </c>
      <c r="E18" s="1"/>
      <c r="F18" s="1"/>
      <c r="G18" s="1"/>
      <c r="H18" s="1"/>
      <c r="I18" s="47">
        <f>IF((I14&gt;I16),(I14-I16),0)</f>
        <v>9640101</v>
      </c>
      <c r="J18" s="47">
        <f>J14-J16</f>
        <v>10132001</v>
      </c>
      <c r="K18" s="6"/>
      <c r="L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1"/>
      <c r="B19" s="1"/>
      <c r="C19" s="1"/>
      <c r="D19" s="1"/>
      <c r="E19" s="1"/>
      <c r="F19" s="1"/>
      <c r="G19" s="1"/>
      <c r="H19" s="1"/>
      <c r="I19" s="47"/>
      <c r="J19" s="47"/>
      <c r="K19" s="6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1"/>
      <c r="B20" s="1"/>
      <c r="C20" s="1"/>
      <c r="D20" s="26" t="s">
        <v>77</v>
      </c>
      <c r="E20" s="8"/>
      <c r="F20" s="8"/>
      <c r="G20" s="8"/>
      <c r="H20" s="8"/>
      <c r="I20" s="51">
        <f>ROUNDUP(IF(Input!E4&gt;=80,SUM('Tax Calculator-OLD'!E25:E27),IF(AND(Input!E4&lt;80,Input!E4&gt;=60),SUM('Tax Calculator-OLD'!E16:E19),IF(Input!E4&lt;60,SUM('Tax Calculator-OLD'!E6:E9),0))),0)</f>
        <v>2704531</v>
      </c>
      <c r="J20" s="51">
        <f>SUM('Tax Calculator-NEW'!E5:E11)</f>
        <v>2777100.3</v>
      </c>
      <c r="K20" s="29"/>
      <c r="L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1"/>
      <c r="B21" s="1"/>
      <c r="C21" s="1"/>
      <c r="D21" s="23" t="s">
        <v>75</v>
      </c>
      <c r="E21" s="8"/>
      <c r="F21" s="8"/>
      <c r="G21" s="8"/>
      <c r="H21" s="8"/>
      <c r="I21" s="51">
        <f>ROUNDUP(IF(Input!E4&gt;=80,'Tax Calculator-OLD'!E28,IF(AND(Input!E4&lt;80,Input!E4&gt;=60),'Tax Calculator-OLD'!E20,IF(Input!E4&lt;60,'Tax Calculator-OLD'!E10,0))),0)</f>
        <v>270454</v>
      </c>
      <c r="J21" s="47">
        <f>'Tax Calculator-NEW'!E12-'Tax Calculator-NEW'!J19</f>
        <v>416565.04499999998</v>
      </c>
      <c r="K21" s="6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>
      <c r="A22" s="1"/>
      <c r="B22" s="1"/>
      <c r="C22" s="1"/>
      <c r="D22" s="24" t="s">
        <v>76</v>
      </c>
      <c r="E22" s="25"/>
      <c r="F22" s="25"/>
      <c r="G22" s="25"/>
      <c r="H22" s="25"/>
      <c r="I22" s="52">
        <f>IF((I20-I23)&gt;0,(SUM(I20:I21)*4%),0)</f>
        <v>118999.40000000001</v>
      </c>
      <c r="J22" s="52">
        <f>IF((J20-J23)&gt;0,(SUM(J20:J21)*4%),0)</f>
        <v>127746.61379999999</v>
      </c>
      <c r="K22" s="6"/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1"/>
      <c r="B23" s="1"/>
      <c r="C23" s="1"/>
      <c r="D23" s="24" t="s">
        <v>78</v>
      </c>
      <c r="E23" s="25"/>
      <c r="F23" s="25"/>
      <c r="G23" s="25"/>
      <c r="H23" s="25"/>
      <c r="I23" s="52">
        <f>IF(I18&lt;=500000,I20,0)</f>
        <v>0</v>
      </c>
      <c r="J23" s="52">
        <f>IF(J18&lt;=500000,J20,0)</f>
        <v>0</v>
      </c>
      <c r="K23" s="6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6" customHeight="1" thickBot="1">
      <c r="A24" s="1"/>
      <c r="B24" s="1"/>
      <c r="C24" s="1"/>
      <c r="D24" s="1"/>
      <c r="E24" s="1"/>
      <c r="F24" s="1"/>
      <c r="G24" s="1"/>
      <c r="H24" s="1"/>
      <c r="I24" s="47"/>
      <c r="J24" s="47"/>
      <c r="K24" s="6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thickBot="1">
      <c r="A25" s="1"/>
      <c r="B25" s="1"/>
      <c r="C25" s="1"/>
      <c r="D25" s="27" t="s">
        <v>81</v>
      </c>
      <c r="E25" s="28"/>
      <c r="F25" s="28"/>
      <c r="G25" s="28"/>
      <c r="H25" s="28"/>
      <c r="I25" s="53">
        <f>I20+I21+I22-I23</f>
        <v>3093984.4</v>
      </c>
      <c r="J25" s="54">
        <f>J20+J21+J22-J23</f>
        <v>3321411.9587999997</v>
      </c>
      <c r="K25" s="6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1"/>
      <c r="B26" s="1"/>
      <c r="C26" s="1"/>
      <c r="D26" s="1"/>
      <c r="E26" s="1"/>
      <c r="F26" s="1"/>
      <c r="G26" s="1"/>
      <c r="H26" s="1"/>
      <c r="I26" s="47"/>
      <c r="J26" s="47"/>
      <c r="K26" s="6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1"/>
      <c r="B27" s="1"/>
      <c r="C27" s="1"/>
      <c r="D27" s="87" t="str">
        <f>IF(AND(I5=0,J5=0),"",IF(I25=J25,"YOU ARE INDIFFERENT BETWEEN BOTH THE REGIMES",IF(I25&gt;J25,"YOU ARE ADVISED TO OPT FOR THE NEW REGIME","YOU ARE ADVISED TO OPT FOR THE OLD REGIME")))</f>
        <v>YOU ARE ADVISED TO OPT FOR THE OLD REGIME</v>
      </c>
      <c r="E27" s="88"/>
      <c r="F27" s="88"/>
      <c r="G27" s="88"/>
      <c r="H27" s="88"/>
      <c r="I27" s="88"/>
      <c r="J27" s="89"/>
      <c r="K27" s="6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1"/>
      <c r="B28" s="1"/>
      <c r="C28" s="1"/>
      <c r="D28" s="1"/>
      <c r="E28" s="1"/>
      <c r="F28" s="1"/>
      <c r="G28" s="1"/>
      <c r="H28" s="1"/>
      <c r="I28" s="47"/>
      <c r="J28" s="47"/>
      <c r="K28" s="6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idden="1"/>
    <row r="30" spans="1:35" hidden="1"/>
    <row r="31" spans="1:35" hidden="1"/>
    <row r="32" spans="1:35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</sheetData>
  <sheetProtection algorithmName="SHA-512" hashValue="uYe51lK1HYAvfP/UsSAP4DLLTiGSjKZHFaoLFDa8qqKr+HEoEidrRzvE0IM6Cpj6F3LwlGLRvCYumCDtV8R3WA==" saltValue="13hN6/5oXlMFg257aPshAQ==" spinCount="100000" sheet="1" objects="1" scenarios="1"/>
  <mergeCells count="2">
    <mergeCell ref="D4:H4"/>
    <mergeCell ref="D27:J27"/>
  </mergeCells>
  <conditionalFormatting sqref="I25">
    <cfRule type="expression" dxfId="2" priority="3">
      <formula>$I$29</formula>
    </cfRule>
  </conditionalFormatting>
  <conditionalFormatting sqref="D27:J27">
    <cfRule type="expression" dxfId="1" priority="1">
      <formula>AND($I$5=0,$J$5=0)</formula>
    </cfRule>
    <cfRule type="expression" dxfId="0" priority="2">
      <formula>OR($I$25&gt;0,$J$25&gt;0,AND($I$25=$J$25))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FB20-67A0-428B-9241-15944BA06302}">
  <sheetPr codeName="Sheet3"/>
  <dimension ref="A1:Q20"/>
  <sheetViews>
    <sheetView showGridLines="0" workbookViewId="0"/>
  </sheetViews>
  <sheetFormatPr defaultColWidth="0" defaultRowHeight="14.4" zeroHeight="1"/>
  <cols>
    <col min="1" max="1" width="2" customWidth="1"/>
    <col min="2" max="2" width="19.6640625" bestFit="1" customWidth="1"/>
    <col min="3" max="3" width="8.88671875" customWidth="1"/>
    <col min="4" max="4" width="14.33203125" bestFit="1" customWidth="1"/>
    <col min="5" max="5" width="13.88671875" bestFit="1" customWidth="1"/>
    <col min="6" max="7" width="2" customWidth="1"/>
    <col min="8" max="8" width="13.88671875" bestFit="1" customWidth="1"/>
    <col min="9" max="10" width="14.88671875" bestFit="1" customWidth="1"/>
    <col min="11" max="12" width="2" customWidth="1"/>
    <col min="13" max="13" width="19.6640625" bestFit="1" customWidth="1"/>
    <col min="14" max="14" width="8.88671875" customWidth="1"/>
    <col min="15" max="15" width="14.33203125" bestFit="1" customWidth="1"/>
    <col min="16" max="16" width="13.88671875" bestFit="1" customWidth="1"/>
    <col min="17" max="17" width="2" customWidth="1"/>
    <col min="18" max="16384" width="8.88671875" hidden="1"/>
  </cols>
  <sheetData>
    <row r="1" spans="2:16">
      <c r="B1" s="19">
        <f>Output!J18</f>
        <v>10132001</v>
      </c>
      <c r="M1" s="19">
        <f>I13</f>
        <v>10000000</v>
      </c>
    </row>
    <row r="2" spans="2:16">
      <c r="B2" s="15" t="s">
        <v>89</v>
      </c>
      <c r="M2" s="15" t="s">
        <v>89</v>
      </c>
    </row>
    <row r="3" spans="2:16"/>
    <row r="4" spans="2:16">
      <c r="B4" s="16" t="s">
        <v>52</v>
      </c>
      <c r="C4" s="16" t="s">
        <v>53</v>
      </c>
      <c r="D4" s="16" t="s">
        <v>54</v>
      </c>
      <c r="E4" s="16" t="s">
        <v>55</v>
      </c>
      <c r="H4" s="90" t="s">
        <v>64</v>
      </c>
      <c r="I4" s="91"/>
      <c r="J4" s="92" t="s">
        <v>67</v>
      </c>
      <c r="M4" s="16" t="s">
        <v>52</v>
      </c>
      <c r="N4" s="16" t="s">
        <v>53</v>
      </c>
      <c r="O4" s="16" t="s">
        <v>54</v>
      </c>
      <c r="P4" s="16" t="s">
        <v>55</v>
      </c>
    </row>
    <row r="5" spans="2:16">
      <c r="B5" s="17" t="s">
        <v>56</v>
      </c>
      <c r="C5" s="18">
        <v>0</v>
      </c>
      <c r="D5" s="20">
        <f>IF(B$1&gt;250000,250000,B$1)</f>
        <v>250000</v>
      </c>
      <c r="E5" s="21">
        <f>C5*D5</f>
        <v>0</v>
      </c>
      <c r="H5" s="16" t="s">
        <v>65</v>
      </c>
      <c r="I5" s="16" t="s">
        <v>66</v>
      </c>
      <c r="J5" s="92"/>
      <c r="M5" s="17" t="s">
        <v>56</v>
      </c>
      <c r="N5" s="18">
        <v>0</v>
      </c>
      <c r="O5" s="20">
        <f>IF(M$1&gt;250000,250000,M$1)</f>
        <v>250000</v>
      </c>
      <c r="P5" s="21">
        <f>N5*O5</f>
        <v>0</v>
      </c>
    </row>
    <row r="6" spans="2:16">
      <c r="B6" s="17" t="s">
        <v>57</v>
      </c>
      <c r="C6" s="18">
        <v>0.05</v>
      </c>
      <c r="D6" s="20">
        <f>IF(B$1&lt;250000,0,IF(AND(B$1&gt;=250000,B$1&lt;500000),(B$1-250000),250000))</f>
        <v>250000</v>
      </c>
      <c r="E6" s="21">
        <f>C6*D6</f>
        <v>12500</v>
      </c>
      <c r="H6" s="20">
        <v>0</v>
      </c>
      <c r="I6" s="20">
        <v>5000000</v>
      </c>
      <c r="J6" s="18">
        <v>0</v>
      </c>
      <c r="M6" s="17" t="s">
        <v>57</v>
      </c>
      <c r="N6" s="18">
        <v>0.05</v>
      </c>
      <c r="O6" s="20">
        <f>IF(M$1&lt;250000,0,IF(AND(M$1&gt;=250000,M$1&lt;500000),(M$1-250000),250000))</f>
        <v>250000</v>
      </c>
      <c r="P6" s="21">
        <f>N6*O6</f>
        <v>12500</v>
      </c>
    </row>
    <row r="7" spans="2:16">
      <c r="B7" s="17" t="s">
        <v>85</v>
      </c>
      <c r="C7" s="18">
        <v>0.1</v>
      </c>
      <c r="D7" s="20">
        <f>IF(B$1&lt;500000,0,IF(AND(B$1&gt;=500000,B$1&lt;750000),(B$1-500000),250000))</f>
        <v>250000</v>
      </c>
      <c r="E7" s="21">
        <f t="shared" ref="E7:E8" si="0">C7*D7</f>
        <v>25000</v>
      </c>
      <c r="H7" s="21">
        <f>I6</f>
        <v>5000000</v>
      </c>
      <c r="I7" s="20">
        <v>10000000</v>
      </c>
      <c r="J7" s="18">
        <v>0.1</v>
      </c>
      <c r="M7" s="17" t="s">
        <v>85</v>
      </c>
      <c r="N7" s="18">
        <v>0.1</v>
      </c>
      <c r="O7" s="20">
        <f>IF(M$1&lt;500000,0,IF(AND(M$1&gt;=500000,M$1&lt;750000),(M$1-500000),250000))</f>
        <v>250000</v>
      </c>
      <c r="P7" s="21">
        <f t="shared" ref="P7:P11" si="1">N7*O7</f>
        <v>25000</v>
      </c>
    </row>
    <row r="8" spans="2:16">
      <c r="B8" s="17" t="s">
        <v>86</v>
      </c>
      <c r="C8" s="18">
        <v>0.15</v>
      </c>
      <c r="D8" s="20">
        <f>IF(B$1&lt;750000,0,IF(AND(B$1&gt;=750000,B$1&lt;1000000),(B$1-750000),250000))</f>
        <v>250000</v>
      </c>
      <c r="E8" s="21">
        <f t="shared" si="0"/>
        <v>37500</v>
      </c>
      <c r="H8" s="20">
        <f>I7</f>
        <v>10000000</v>
      </c>
      <c r="I8" s="20">
        <v>20000000</v>
      </c>
      <c r="J8" s="18">
        <v>0.15</v>
      </c>
      <c r="M8" s="17" t="s">
        <v>86</v>
      </c>
      <c r="N8" s="18">
        <v>0.15</v>
      </c>
      <c r="O8" s="20">
        <f>IF(M$1&lt;750000,0,IF(AND(M$1&gt;=750000,M$1&lt;1000000),(M$1-750000),250000))</f>
        <v>250000</v>
      </c>
      <c r="P8" s="21">
        <f t="shared" si="1"/>
        <v>37500</v>
      </c>
    </row>
    <row r="9" spans="2:16">
      <c r="B9" s="17" t="s">
        <v>87</v>
      </c>
      <c r="C9" s="18">
        <v>0.2</v>
      </c>
      <c r="D9" s="20">
        <f>IF(B$1&lt;1000000,0,IF(AND(B$1&gt;=1000000,B$1&lt;1250000),(B$1-1000000),250000))</f>
        <v>250000</v>
      </c>
      <c r="E9" s="21">
        <f t="shared" ref="E9:E11" si="2">C9*D9</f>
        <v>50000</v>
      </c>
      <c r="H9" s="20">
        <f>I8</f>
        <v>20000000</v>
      </c>
      <c r="I9" s="20">
        <v>50000000</v>
      </c>
      <c r="J9" s="18">
        <v>0.25</v>
      </c>
      <c r="M9" s="17" t="s">
        <v>87</v>
      </c>
      <c r="N9" s="18">
        <v>0.2</v>
      </c>
      <c r="O9" s="20">
        <f>IF(M$1&lt;1000000,0,IF(AND(M$1&gt;=1000000,M$1&lt;1250000),(M$1-1000000),250000))</f>
        <v>250000</v>
      </c>
      <c r="P9" s="21">
        <f t="shared" si="1"/>
        <v>50000</v>
      </c>
    </row>
    <row r="10" spans="2:16">
      <c r="B10" s="17" t="s">
        <v>88</v>
      </c>
      <c r="C10" s="18">
        <v>0.25</v>
      </c>
      <c r="D10" s="20">
        <f>IF(B$1&lt;1250000,0,IF(AND(B$1&gt;=1250000,B$1&lt;1500000),(B$1-1250000),250000))</f>
        <v>250000</v>
      </c>
      <c r="E10" s="21">
        <f t="shared" si="2"/>
        <v>62500</v>
      </c>
      <c r="H10" s="20">
        <f>I9</f>
        <v>50000000</v>
      </c>
      <c r="I10" s="20">
        <v>0</v>
      </c>
      <c r="J10" s="18">
        <v>0.37</v>
      </c>
      <c r="M10" s="17" t="s">
        <v>88</v>
      </c>
      <c r="N10" s="18">
        <v>0.25</v>
      </c>
      <c r="O10" s="20">
        <f>IF(M$1&lt;1250000,0,IF(AND(M$1&gt;=1250000,M$1&lt;1500000),(M$1-1250000),250000))</f>
        <v>250000</v>
      </c>
      <c r="P10" s="21">
        <f t="shared" si="1"/>
        <v>62500</v>
      </c>
    </row>
    <row r="11" spans="2:16">
      <c r="B11" s="3" t="s">
        <v>90</v>
      </c>
      <c r="C11" s="18">
        <v>0.3</v>
      </c>
      <c r="D11" s="20">
        <f>IF(B$1&gt;1500000,(B$1-1500000),0)</f>
        <v>8632001</v>
      </c>
      <c r="E11" s="21">
        <f t="shared" si="2"/>
        <v>2589600.2999999998</v>
      </c>
      <c r="M11" s="3" t="s">
        <v>90</v>
      </c>
      <c r="N11" s="18">
        <v>0.3</v>
      </c>
      <c r="O11" s="20">
        <f>IF(M$1&gt;1500000,(M$1-1500000),0)</f>
        <v>8500000</v>
      </c>
      <c r="P11" s="21">
        <f t="shared" si="1"/>
        <v>2550000</v>
      </c>
    </row>
    <row r="12" spans="2:16">
      <c r="B12" s="3" t="s">
        <v>62</v>
      </c>
      <c r="C12" s="17"/>
      <c r="D12" s="21"/>
      <c r="E12" s="21">
        <f>(SUM(E5:E11)*IF(B$1&gt;=$H$10,$J$10,IF(B$1&gt;=$H$9,$J$9,IF(B$1&gt;=$H$8,$J$8,IF(B$1&gt;=$H$7,$J$7,0)))))</f>
        <v>416565.04499999998</v>
      </c>
      <c r="H12" s="92" t="s">
        <v>83</v>
      </c>
      <c r="I12" s="92"/>
      <c r="J12" s="92"/>
      <c r="M12" s="3" t="s">
        <v>62</v>
      </c>
      <c r="N12" s="17"/>
      <c r="O12" s="21"/>
      <c r="P12" s="21">
        <f>(SUM(P5:P11)*IF(M$1&gt;=$H$10,$J$10,IF(M$1&gt;=$H$9,$J$9,IF(M$1&gt;=$H$8,$J$8,IF(M$1&gt;=$H$7,$J$7,0)))))</f>
        <v>410625</v>
      </c>
    </row>
    <row r="13" spans="2:16">
      <c r="E13" s="19"/>
      <c r="H13" s="17" t="s">
        <v>79</v>
      </c>
      <c r="I13" s="20">
        <f>IF($B$1&gt;=$H$10,H10,IF($B$1&gt;=$H$9,$H$9,IF($B$1&gt;=$H$8,$H$8,IF($B$1&gt;=$H$7,$H$7,0))))</f>
        <v>10000000</v>
      </c>
      <c r="J13" s="20">
        <f>IF(I13&gt;0,B1,0)</f>
        <v>10132001</v>
      </c>
      <c r="P13" s="19"/>
    </row>
    <row r="14" spans="2:16">
      <c r="E14" s="19"/>
      <c r="H14" s="17" t="s">
        <v>55</v>
      </c>
      <c r="I14" s="20">
        <f>SUM(P5:P11)</f>
        <v>2737500</v>
      </c>
      <c r="J14" s="21">
        <f>SUM(E5:E11)</f>
        <v>2777100.3</v>
      </c>
    </row>
    <row r="15" spans="2:16">
      <c r="H15" s="17" t="s">
        <v>62</v>
      </c>
      <c r="I15" s="20">
        <f>P12</f>
        <v>410625</v>
      </c>
      <c r="J15" s="21">
        <f>E12</f>
        <v>416565.04499999998</v>
      </c>
    </row>
    <row r="16" spans="2:16">
      <c r="H16" s="17" t="s">
        <v>80</v>
      </c>
      <c r="I16" s="20">
        <f>SUM(I14:I15)</f>
        <v>3148125</v>
      </c>
      <c r="J16" s="21">
        <f t="shared" ref="J16" si="3">SUM(J14:J15)</f>
        <v>3193665.3449999997</v>
      </c>
    </row>
    <row r="17" spans="8:10">
      <c r="H17" s="17" t="s">
        <v>72</v>
      </c>
      <c r="I17" s="17"/>
      <c r="J17" s="21">
        <f>J16-$I$16</f>
        <v>45540.344999999739</v>
      </c>
    </row>
    <row r="18" spans="8:10">
      <c r="H18" s="17" t="s">
        <v>73</v>
      </c>
      <c r="I18" s="17"/>
      <c r="J18" s="21">
        <f>J13-$I$13</f>
        <v>132001</v>
      </c>
    </row>
    <row r="19" spans="8:10">
      <c r="H19" s="30" t="s">
        <v>74</v>
      </c>
      <c r="I19" s="30"/>
      <c r="J19" s="31">
        <f>IF(AND(I13&gt;0,(J17&gt;J18)),J17-J18,0)</f>
        <v>0</v>
      </c>
    </row>
    <row r="20" spans="8:10"/>
  </sheetData>
  <mergeCells count="3">
    <mergeCell ref="H4:I4"/>
    <mergeCell ref="J4:J5"/>
    <mergeCell ref="H12:J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17E39-5326-4250-86D8-FA6E479DD3F2}">
  <sheetPr codeName="Sheet4"/>
  <dimension ref="A1:U30"/>
  <sheetViews>
    <sheetView showGridLines="0" workbookViewId="0">
      <selection activeCell="E10" sqref="E10"/>
    </sheetView>
  </sheetViews>
  <sheetFormatPr defaultColWidth="0" defaultRowHeight="14.4" zeroHeight="1"/>
  <cols>
    <col min="1" max="1" width="2" customWidth="1"/>
    <col min="2" max="2" width="18.6640625" bestFit="1" customWidth="1"/>
    <col min="3" max="3" width="8.109375" bestFit="1" customWidth="1"/>
    <col min="4" max="4" width="14.88671875" bestFit="1" customWidth="1"/>
    <col min="5" max="5" width="14.33203125" bestFit="1" customWidth="1"/>
    <col min="6" max="7" width="2" customWidth="1"/>
    <col min="8" max="8" width="13.88671875" bestFit="1" customWidth="1"/>
    <col min="9" max="10" width="14.88671875" bestFit="1" customWidth="1"/>
    <col min="11" max="12" width="2" customWidth="1"/>
    <col min="13" max="13" width="18.6640625" bestFit="1" customWidth="1"/>
    <col min="14" max="14" width="12.33203125" bestFit="1" customWidth="1"/>
    <col min="15" max="15" width="14.33203125" bestFit="1" customWidth="1"/>
    <col min="16" max="16" width="13.88671875" bestFit="1" customWidth="1"/>
    <col min="17" max="17" width="2" customWidth="1"/>
    <col min="18" max="20" width="8.88671875" hidden="1" customWidth="1"/>
    <col min="21" max="21" width="0" hidden="1" customWidth="1"/>
    <col min="22" max="16384" width="8.88671875" hidden="1"/>
  </cols>
  <sheetData>
    <row r="1" spans="2:17">
      <c r="B1" s="19">
        <f>Output!I18</f>
        <v>9640101</v>
      </c>
      <c r="M1" s="19">
        <f>I13</f>
        <v>5000000</v>
      </c>
    </row>
    <row r="2" spans="2:17">
      <c r="B2" s="15" t="s">
        <v>51</v>
      </c>
      <c r="M2" s="15" t="s">
        <v>51</v>
      </c>
    </row>
    <row r="3" spans="2:17">
      <c r="D3" s="5"/>
    </row>
    <row r="4" spans="2:17">
      <c r="B4" s="15" t="s">
        <v>60</v>
      </c>
      <c r="H4" s="90" t="s">
        <v>64</v>
      </c>
      <c r="I4" s="91"/>
      <c r="J4" s="92" t="s">
        <v>67</v>
      </c>
      <c r="M4" s="15" t="s">
        <v>60</v>
      </c>
    </row>
    <row r="5" spans="2:17">
      <c r="B5" s="16" t="s">
        <v>52</v>
      </c>
      <c r="C5" s="16" t="s">
        <v>53</v>
      </c>
      <c r="D5" s="16" t="s">
        <v>54</v>
      </c>
      <c r="E5" s="16" t="s">
        <v>55</v>
      </c>
      <c r="H5" s="16" t="s">
        <v>65</v>
      </c>
      <c r="I5" s="16" t="s">
        <v>66</v>
      </c>
      <c r="J5" s="92"/>
      <c r="M5" s="16" t="s">
        <v>52</v>
      </c>
      <c r="N5" s="16" t="s">
        <v>53</v>
      </c>
      <c r="O5" s="16" t="s">
        <v>54</v>
      </c>
      <c r="P5" s="16" t="s">
        <v>55</v>
      </c>
      <c r="Q5" s="19"/>
    </row>
    <row r="6" spans="2:17">
      <c r="B6" s="17" t="s">
        <v>56</v>
      </c>
      <c r="C6" s="18">
        <v>0</v>
      </c>
      <c r="D6" s="20">
        <f>IF(B$1&gt;250000,250000,B$1)</f>
        <v>250000</v>
      </c>
      <c r="E6" s="21">
        <f>C6*D6</f>
        <v>0</v>
      </c>
      <c r="H6" s="20">
        <v>0</v>
      </c>
      <c r="I6" s="20">
        <v>5000000</v>
      </c>
      <c r="J6" s="18">
        <v>0</v>
      </c>
      <c r="M6" s="17" t="s">
        <v>56</v>
      </c>
      <c r="N6" s="18">
        <v>0</v>
      </c>
      <c r="O6" s="20">
        <f>IF(M$1&gt;250000,250000,M$1)</f>
        <v>250000</v>
      </c>
      <c r="P6" s="21">
        <f>N6*O6</f>
        <v>0</v>
      </c>
    </row>
    <row r="7" spans="2:17">
      <c r="B7" s="17" t="s">
        <v>57</v>
      </c>
      <c r="C7" s="18">
        <v>0.05</v>
      </c>
      <c r="D7" s="20">
        <f>IF(B$1&lt;250000,0,IF(AND(B$1&gt;=250000,B$1&lt;500000),(B$1-250000),250000))</f>
        <v>250000</v>
      </c>
      <c r="E7" s="21">
        <f>C7*D7</f>
        <v>12500</v>
      </c>
      <c r="H7" s="21">
        <f>I6</f>
        <v>5000000</v>
      </c>
      <c r="I7" s="20">
        <v>10000000</v>
      </c>
      <c r="J7" s="18">
        <v>0.1</v>
      </c>
      <c r="M7" s="17" t="s">
        <v>57</v>
      </c>
      <c r="N7" s="18">
        <v>0.05</v>
      </c>
      <c r="O7" s="20">
        <f>IF(M$1&lt;250000,0,IF(AND(M$1&gt;=250000,M$1&lt;500000),(M$1-250000),250000))</f>
        <v>250000</v>
      </c>
      <c r="P7" s="21">
        <f>N7*O7</f>
        <v>12500</v>
      </c>
    </row>
    <row r="8" spans="2:17">
      <c r="B8" s="17" t="s">
        <v>58</v>
      </c>
      <c r="C8" s="18">
        <v>0.2</v>
      </c>
      <c r="D8" s="20">
        <f>IF(B$1&lt;500000,0,IF(AND(B$1&gt;=500000,B$1&lt;1000000),(B$1-500000),500000))</f>
        <v>500000</v>
      </c>
      <c r="E8" s="21">
        <f t="shared" ref="E8:E9" si="0">C8*D8</f>
        <v>100000</v>
      </c>
      <c r="H8" s="20">
        <f>I7</f>
        <v>10000000</v>
      </c>
      <c r="I8" s="20">
        <v>20000000</v>
      </c>
      <c r="J8" s="18">
        <v>0.15</v>
      </c>
      <c r="M8" s="17" t="s">
        <v>58</v>
      </c>
      <c r="N8" s="18">
        <v>0.2</v>
      </c>
      <c r="O8" s="20">
        <f>IF(M$1&lt;500000,0,IF(AND(M$1&gt;=500000,M$1&lt;1000000),(M$1-500000),500000))</f>
        <v>500000</v>
      </c>
      <c r="P8" s="21">
        <f t="shared" ref="P8:P9" si="1">N8*O8</f>
        <v>100000</v>
      </c>
    </row>
    <row r="9" spans="2:17">
      <c r="B9" s="17" t="s">
        <v>59</v>
      </c>
      <c r="C9" s="18">
        <v>0.3</v>
      </c>
      <c r="D9" s="20">
        <f>IF(B$1&gt;1000000,(B$1-1000000),0)</f>
        <v>8640101</v>
      </c>
      <c r="E9" s="21">
        <f t="shared" si="0"/>
        <v>2592030.2999999998</v>
      </c>
      <c r="H9" s="20">
        <f>I8</f>
        <v>20000000</v>
      </c>
      <c r="I9" s="20">
        <v>50000000</v>
      </c>
      <c r="J9" s="18">
        <v>0.25</v>
      </c>
      <c r="M9" s="17" t="s">
        <v>59</v>
      </c>
      <c r="N9" s="18">
        <v>0.3</v>
      </c>
      <c r="O9" s="20">
        <f>IF(M$1&gt;1000000,(M$1-1000000),0)</f>
        <v>4000000</v>
      </c>
      <c r="P9" s="21">
        <f t="shared" si="1"/>
        <v>1200000</v>
      </c>
    </row>
    <row r="10" spans="2:17">
      <c r="B10" s="3" t="s">
        <v>62</v>
      </c>
      <c r="C10" s="17"/>
      <c r="D10" s="17"/>
      <c r="E10" s="21">
        <f>(SUM(E6:E9)*IF(B$1&gt;=$H$10,$J$10,IF(B$1&gt;=$H$9,$J$9,IF(B$1&gt;=$H$8,$J$8,IF(B$1&gt;=$H$7,$J$7,0)))))</f>
        <v>270453.02999999997</v>
      </c>
      <c r="F10" s="19"/>
      <c r="H10" s="20">
        <f>I9</f>
        <v>50000000</v>
      </c>
      <c r="I10" s="20">
        <v>0</v>
      </c>
      <c r="J10" s="18">
        <v>0.37</v>
      </c>
      <c r="M10" s="3" t="s">
        <v>62</v>
      </c>
      <c r="N10" s="17"/>
      <c r="O10" s="17"/>
      <c r="P10" s="21">
        <f>(SUM(P6:P9)*IF(M$1&gt;=$H$10,$J$10,IF(M$1&gt;=$H$9,$J$9,IF(M$1&gt;=$H$8,$J$8,IF(M$1&gt;=$H$7,$J$7,0)))))</f>
        <v>131250</v>
      </c>
    </row>
    <row r="11" spans="2:17">
      <c r="D11" s="19">
        <f>SUM(D6:D9)</f>
        <v>9640101</v>
      </c>
      <c r="O11" s="19">
        <f>SUM(O6:O9)</f>
        <v>5000000</v>
      </c>
    </row>
    <row r="12" spans="2:17">
      <c r="D12" s="19"/>
      <c r="H12" s="92" t="s">
        <v>83</v>
      </c>
      <c r="I12" s="92"/>
      <c r="J12" s="92"/>
      <c r="O12" s="19"/>
    </row>
    <row r="13" spans="2:17">
      <c r="H13" s="17" t="s">
        <v>79</v>
      </c>
      <c r="I13" s="20">
        <f>IF($B$1&gt;=$H$10,H10,IF($B$1&gt;=$H$9,$H$9,IF($B$1&gt;=$H$8,$H$8,IF($B$1&gt;=$H$7,$H$7,0))))</f>
        <v>5000000</v>
      </c>
      <c r="J13" s="20">
        <f>IF(I13&gt;0,B1,0)</f>
        <v>9640101</v>
      </c>
      <c r="K13" s="5"/>
    </row>
    <row r="14" spans="2:17">
      <c r="B14" s="15" t="s">
        <v>63</v>
      </c>
      <c r="H14" s="17" t="s">
        <v>55</v>
      </c>
      <c r="I14" s="20">
        <f>IF(I13&gt;0,IF(Input!E4&gt;=80,SUM('Tax Calculator-OLD'!P25:P27),IF(AND(Input!E4&lt;80,Input!E4&gt;=60),SUM('Tax Calculator-OLD'!P16:P19),IF(Input!E4&lt;60,SUM('Tax Calculator-OLD'!P6:P9),0))),0)</f>
        <v>1312500</v>
      </c>
      <c r="J14" s="21">
        <f>IF(I13&gt;0,IF(Input!E4&gt;=80,SUM('Tax Calculator-OLD'!E25:E27),IF(AND(Input!E4&lt;80,Input!E4&gt;=60),SUM('Tax Calculator-OLD'!E16:E19),IF(Input!E4&lt;60,SUM('Tax Calculator-OLD'!E6:E9),0))),0)</f>
        <v>2704530.3</v>
      </c>
      <c r="K14" s="22"/>
      <c r="M14" s="15" t="s">
        <v>63</v>
      </c>
    </row>
    <row r="15" spans="2:17">
      <c r="B15" s="16" t="s">
        <v>52</v>
      </c>
      <c r="C15" s="16" t="s">
        <v>53</v>
      </c>
      <c r="D15" s="16" t="s">
        <v>54</v>
      </c>
      <c r="E15" s="16" t="s">
        <v>55</v>
      </c>
      <c r="H15" s="17" t="s">
        <v>62</v>
      </c>
      <c r="I15" s="20">
        <f>IF(I13&gt;0,IF(Input!E4&gt;=80,P28,IF(AND(Input!E4&lt;80,Input!E4&gt;=60),P20,IF(Input!E4&lt;60,P10,0))),0)</f>
        <v>131250</v>
      </c>
      <c r="J15" s="21">
        <f>IF(I13&gt;0,IF(Input!E4&gt;=80,E28,IF(AND(Input!E4&lt;80,Input!E4&gt;=60),E20,IF(Input!E4&lt;60,E10,0))),0)</f>
        <v>270453.02999999997</v>
      </c>
      <c r="K15" s="19"/>
      <c r="M15" s="16" t="s">
        <v>52</v>
      </c>
      <c r="N15" s="16" t="s">
        <v>53</v>
      </c>
      <c r="O15" s="16" t="s">
        <v>54</v>
      </c>
      <c r="P15" s="16" t="s">
        <v>55</v>
      </c>
    </row>
    <row r="16" spans="2:17">
      <c r="B16" s="17" t="s">
        <v>68</v>
      </c>
      <c r="C16" s="18">
        <v>0</v>
      </c>
      <c r="D16" s="20">
        <f>IF(B$1&gt;300000,300000,B$1)</f>
        <v>300000</v>
      </c>
      <c r="E16" s="21">
        <f>C16*D16</f>
        <v>0</v>
      </c>
      <c r="H16" s="17" t="s">
        <v>80</v>
      </c>
      <c r="I16" s="20">
        <f>SUM(I14:I15)</f>
        <v>1443750</v>
      </c>
      <c r="J16" s="21">
        <f t="shared" ref="J16" si="2">SUM(J14:J15)</f>
        <v>2974983.3299999996</v>
      </c>
      <c r="K16" s="19"/>
      <c r="M16" s="17" t="s">
        <v>68</v>
      </c>
      <c r="N16" s="18">
        <v>0</v>
      </c>
      <c r="O16" s="20">
        <f>IF(M$1&gt;300000,300000,M$1)</f>
        <v>300000</v>
      </c>
      <c r="P16" s="21">
        <f>N16*O16</f>
        <v>0</v>
      </c>
    </row>
    <row r="17" spans="2:16">
      <c r="B17" s="17" t="s">
        <v>69</v>
      </c>
      <c r="C17" s="18">
        <v>0.05</v>
      </c>
      <c r="D17" s="20">
        <f>IF(B$1&lt;300000,0,IF(AND(B$1&gt;=300000,B$1&lt;500000),(B$1-300000),200000))</f>
        <v>200000</v>
      </c>
      <c r="E17" s="21">
        <f>C17*D17</f>
        <v>10000</v>
      </c>
      <c r="H17" s="17" t="s">
        <v>72</v>
      </c>
      <c r="I17" s="17"/>
      <c r="J17" s="21">
        <f>J16-$I$16</f>
        <v>1531233.3299999996</v>
      </c>
      <c r="K17" s="19"/>
      <c r="M17" s="17" t="s">
        <v>69</v>
      </c>
      <c r="N17" s="18">
        <v>0.05</v>
      </c>
      <c r="O17" s="20">
        <f>IF(M$1&lt;300000,0,IF(AND(M$1&gt;=300000,M$1&lt;500000),(M$1-300000),200000))</f>
        <v>200000</v>
      </c>
      <c r="P17" s="21">
        <f>N17*O17</f>
        <v>10000</v>
      </c>
    </row>
    <row r="18" spans="2:16">
      <c r="B18" s="17" t="s">
        <v>58</v>
      </c>
      <c r="C18" s="18">
        <v>0.2</v>
      </c>
      <c r="D18" s="20">
        <f>IF(B$1&lt;500000,0,IF(AND(B$1&gt;=500000,B$1&lt;1000000),(B$1-500000),500000))</f>
        <v>500000</v>
      </c>
      <c r="E18" s="21">
        <f t="shared" ref="E18:E19" si="3">C18*D18</f>
        <v>100000</v>
      </c>
      <c r="H18" s="17" t="s">
        <v>73</v>
      </c>
      <c r="I18" s="17"/>
      <c r="J18" s="21">
        <f>J13-$I$13</f>
        <v>4640101</v>
      </c>
      <c r="K18" s="19"/>
      <c r="M18" s="17" t="s">
        <v>58</v>
      </c>
      <c r="N18" s="18">
        <v>0.2</v>
      </c>
      <c r="O18" s="20">
        <f>IF(M$1&lt;500000,0,IF(AND(M$1&gt;=500000,M$1&lt;1000000),(M$1-500000),500000))</f>
        <v>500000</v>
      </c>
      <c r="P18" s="21">
        <f t="shared" ref="P18:P19" si="4">N18*O18</f>
        <v>100000</v>
      </c>
    </row>
    <row r="19" spans="2:16">
      <c r="B19" s="17" t="s">
        <v>59</v>
      </c>
      <c r="C19" s="18">
        <v>0.3</v>
      </c>
      <c r="D19" s="20">
        <f>IF(B$1&gt;1000000,(B$1-1000000),0)</f>
        <v>8640101</v>
      </c>
      <c r="E19" s="21">
        <f t="shared" si="3"/>
        <v>2592030.2999999998</v>
      </c>
      <c r="H19" s="30" t="s">
        <v>74</v>
      </c>
      <c r="I19" s="30"/>
      <c r="J19" s="31">
        <f>IF(AND(I13&gt;0,(J17&gt;J18)),J17-J18,0)</f>
        <v>0</v>
      </c>
      <c r="M19" s="17" t="s">
        <v>59</v>
      </c>
      <c r="N19" s="18">
        <v>0.3</v>
      </c>
      <c r="O19" s="20">
        <f>IF(M$1&gt;1000000,(M$1-1000000),0)</f>
        <v>4000000</v>
      </c>
      <c r="P19" s="21">
        <f t="shared" si="4"/>
        <v>1200000</v>
      </c>
    </row>
    <row r="20" spans="2:16">
      <c r="B20" s="3" t="s">
        <v>62</v>
      </c>
      <c r="C20" s="17"/>
      <c r="D20" s="17"/>
      <c r="E20" s="21">
        <f>(SUM(E16:E19)*IF($B$1&gt;=$H$10,$J$10,IF($B$1&gt;=$H$9,$J$9,IF($B$1&gt;=$H$8,$J$8,IF($B$1&gt;=$H$7,$J$7,0)))))</f>
        <v>270203.02999999997</v>
      </c>
      <c r="M20" s="3" t="s">
        <v>62</v>
      </c>
      <c r="N20" s="17"/>
      <c r="O20" s="17"/>
      <c r="P20" s="21">
        <f>(SUM(P16:P19)*IF(B$1&gt;=$H$10,$J$10,IF(B$1&gt;=$H$9,$J$9,IF(B$1&gt;=$H$8,$J$8,IF(B$1&gt;=$H$7,$J$7,0)))))</f>
        <v>131000</v>
      </c>
    </row>
    <row r="21" spans="2:16">
      <c r="D21" s="19">
        <f>SUM(D16:D19)</f>
        <v>9640101</v>
      </c>
      <c r="O21" s="19">
        <f>SUM(O16:O19)</f>
        <v>5000000</v>
      </c>
    </row>
    <row r="22" spans="2:16"/>
    <row r="23" spans="2:16">
      <c r="B23" s="15" t="s">
        <v>70</v>
      </c>
      <c r="M23" s="15" t="s">
        <v>70</v>
      </c>
    </row>
    <row r="24" spans="2:16">
      <c r="B24" s="16" t="s">
        <v>52</v>
      </c>
      <c r="C24" s="16" t="s">
        <v>53</v>
      </c>
      <c r="D24" s="16" t="s">
        <v>54</v>
      </c>
      <c r="E24" s="16" t="s">
        <v>55</v>
      </c>
      <c r="M24" s="16" t="s">
        <v>52</v>
      </c>
      <c r="N24" s="16" t="s">
        <v>53</v>
      </c>
      <c r="O24" s="16" t="s">
        <v>54</v>
      </c>
      <c r="P24" s="16" t="s">
        <v>55</v>
      </c>
    </row>
    <row r="25" spans="2:16">
      <c r="B25" s="17" t="s">
        <v>71</v>
      </c>
      <c r="C25" s="18">
        <v>0</v>
      </c>
      <c r="D25" s="20">
        <f>IF(B$20&gt;500000,500000,B$20)</f>
        <v>500000</v>
      </c>
      <c r="E25" s="21">
        <f>C25*D25</f>
        <v>0</v>
      </c>
      <c r="M25" s="17" t="s">
        <v>71</v>
      </c>
      <c r="N25" s="18">
        <v>0</v>
      </c>
      <c r="O25" s="20">
        <f>IF(M$20&gt;500000,500000,M$20)</f>
        <v>500000</v>
      </c>
      <c r="P25" s="21">
        <f>N25*O25</f>
        <v>0</v>
      </c>
    </row>
    <row r="26" spans="2:16">
      <c r="B26" s="17" t="s">
        <v>58</v>
      </c>
      <c r="C26" s="18">
        <v>0.2</v>
      </c>
      <c r="D26" s="20">
        <f>IF(B$1&lt;500000,0,IF(AND(B$1&gt;=500000,B$1&lt;1000000),(B$1-500000),500000))</f>
        <v>500000</v>
      </c>
      <c r="E26" s="21">
        <f t="shared" ref="E26:E27" si="5">C26*D26</f>
        <v>100000</v>
      </c>
      <c r="M26" s="17" t="s">
        <v>58</v>
      </c>
      <c r="N26" s="18">
        <v>0.2</v>
      </c>
      <c r="O26" s="20">
        <f>IF(M$1&lt;500000,0,IF(AND(M$1&gt;=500000,M$1&lt;1000000),(M$1-500000),500000))</f>
        <v>500000</v>
      </c>
      <c r="P26" s="21">
        <f t="shared" ref="P26:P27" si="6">N26*O26</f>
        <v>100000</v>
      </c>
    </row>
    <row r="27" spans="2:16">
      <c r="B27" s="17" t="s">
        <v>59</v>
      </c>
      <c r="C27" s="18">
        <v>0.3</v>
      </c>
      <c r="D27" s="20">
        <f>IF(B$1&gt;1000000,(B$1-1000000),0)</f>
        <v>8640101</v>
      </c>
      <c r="E27" s="21">
        <f t="shared" si="5"/>
        <v>2592030.2999999998</v>
      </c>
      <c r="M27" s="17" t="s">
        <v>59</v>
      </c>
      <c r="N27" s="18">
        <v>0.3</v>
      </c>
      <c r="O27" s="20">
        <f>IF(M$1&gt;1000000,(M$1-1000000),0)</f>
        <v>4000000</v>
      </c>
      <c r="P27" s="21">
        <f t="shared" si="6"/>
        <v>1200000</v>
      </c>
    </row>
    <row r="28" spans="2:16">
      <c r="B28" s="3" t="s">
        <v>62</v>
      </c>
      <c r="C28" s="17"/>
      <c r="D28" s="17"/>
      <c r="E28" s="21">
        <f>(SUM(E24:E27)*IF($B$1&gt;=$H$10,$J$10,IF($B$1&gt;=$H$9,$J$9,IF($B$1&gt;=$H$8,$J$8,IF($B$1&gt;=$H$7,$J$7,0)))))</f>
        <v>269203.02999999997</v>
      </c>
      <c r="M28" s="3" t="s">
        <v>62</v>
      </c>
      <c r="N28" s="17"/>
      <c r="O28" s="17"/>
      <c r="P28" s="21">
        <f>(SUM(P25:P27)*IF(B$1&gt;=$H$10,$J$10,IF(B$1&gt;=$H$9,$J$9,IF(B$1&gt;=$H$8,$J$8,IF(B$1&gt;=$H$7,$J$7,0)))))</f>
        <v>130000</v>
      </c>
    </row>
    <row r="29" spans="2:16">
      <c r="D29" s="19">
        <f>SUM(D25:D27)</f>
        <v>9640101</v>
      </c>
      <c r="O29" s="19">
        <f>SUM(O25:O27)</f>
        <v>5000000</v>
      </c>
    </row>
    <row r="30" spans="2:16"/>
  </sheetData>
  <mergeCells count="3">
    <mergeCell ref="J4:J5"/>
    <mergeCell ref="H12:J12"/>
    <mergeCell ref="H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Input</vt:lpstr>
      <vt:lpstr>Output</vt:lpstr>
      <vt:lpstr>Tax Calculator-NEW</vt:lpstr>
      <vt:lpstr>Tax Calculator-OLD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Anudeep Reddy</dc:creator>
  <cp:lastModifiedBy>Anudeep Reddy</cp:lastModifiedBy>
  <dcterms:created xsi:type="dcterms:W3CDTF">2015-06-05T18:17:20Z</dcterms:created>
  <dcterms:modified xsi:type="dcterms:W3CDTF">2020-07-29T05:12:05Z</dcterms:modified>
</cp:coreProperties>
</file>